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105" windowWidth="20715" windowHeight="11760"/>
  </bookViews>
  <sheets>
    <sheet name="STATEMENT" sheetId="2" r:id="rId1"/>
    <sheet name="ANNEXURE 2025" sheetId="6" r:id="rId2"/>
  </sheets>
  <definedNames>
    <definedName name="_xlnm.Print_Area" localSheetId="1">'ANNEXURE 2025'!$A$1:$E$64</definedName>
    <definedName name="_xlnm.Print_Area" localSheetId="0">STATEMENT!$A$1:$O$37</definedName>
    <definedName name="_xlnm.Print_Titles" localSheetId="1">'ANNEXURE 2025'!$9:$9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/>
  <c r="E8" i="6"/>
  <c r="C60" l="1"/>
  <c r="I3" l="1"/>
  <c r="K3" s="1"/>
  <c r="D26"/>
  <c r="D48"/>
  <c r="E48" s="1"/>
  <c r="D39"/>
  <c r="D38"/>
  <c r="D37"/>
  <c r="D35"/>
  <c r="D34"/>
  <c r="D33"/>
  <c r="D32"/>
  <c r="D27"/>
  <c r="D25"/>
  <c r="D24"/>
  <c r="D23"/>
  <c r="D22"/>
  <c r="D20"/>
  <c r="D18"/>
  <c r="D17"/>
  <c r="E17" s="1"/>
  <c r="D16"/>
  <c r="E16" s="1"/>
  <c r="D14"/>
  <c r="C8"/>
  <c r="B8"/>
  <c r="B7"/>
  <c r="B6"/>
  <c r="B5"/>
  <c r="A1"/>
  <c r="G21" i="2" l="1"/>
  <c r="G22"/>
  <c r="G23"/>
  <c r="D8" l="1"/>
  <c r="I9"/>
  <c r="I10" s="1"/>
  <c r="I11" s="1"/>
  <c r="I12" s="1"/>
  <c r="I13" s="1"/>
  <c r="I14" s="1"/>
  <c r="I15" s="1"/>
  <c r="I16" s="1"/>
  <c r="I17" s="1"/>
  <c r="I18" s="1"/>
  <c r="I19" s="1"/>
  <c r="H22" l="1"/>
  <c r="H24" s="1"/>
  <c r="J37"/>
  <c r="B64" i="6" s="1"/>
  <c r="K30" i="2"/>
  <c r="O24"/>
  <c r="N24"/>
  <c r="C31" i="6" s="1"/>
  <c r="D31" s="1"/>
  <c r="M24" i="2"/>
  <c r="L24"/>
  <c r="K24"/>
  <c r="I24"/>
  <c r="B9"/>
  <c r="C9" s="1"/>
  <c r="C36" i="6" l="1"/>
  <c r="D36" s="1"/>
  <c r="C30"/>
  <c r="C12"/>
  <c r="D12" s="1"/>
  <c r="D9" i="2"/>
  <c r="G9" s="1"/>
  <c r="B10"/>
  <c r="C10" s="1"/>
  <c r="E24"/>
  <c r="F24"/>
  <c r="G8"/>
  <c r="D30" i="6" l="1"/>
  <c r="C40"/>
  <c r="D40" s="1"/>
  <c r="D10" i="2"/>
  <c r="G10" s="1"/>
  <c r="B11"/>
  <c r="B12" l="1"/>
  <c r="C12" s="1"/>
  <c r="C11"/>
  <c r="D11"/>
  <c r="G11" l="1"/>
  <c r="D12"/>
  <c r="B13"/>
  <c r="C13" s="1"/>
  <c r="G12" l="1"/>
  <c r="D13"/>
  <c r="G13" s="1"/>
  <c r="B14"/>
  <c r="C14" s="1"/>
  <c r="D14" l="1"/>
  <c r="G14" s="1"/>
  <c r="B15"/>
  <c r="C15" s="1"/>
  <c r="B16" l="1"/>
  <c r="D15"/>
  <c r="B17" l="1"/>
  <c r="C16"/>
  <c r="G15"/>
  <c r="D16"/>
  <c r="B18" l="1"/>
  <c r="C17"/>
  <c r="G16"/>
  <c r="D17"/>
  <c r="B19" l="1"/>
  <c r="C19" s="1"/>
  <c r="C18"/>
  <c r="G17"/>
  <c r="D18"/>
  <c r="C20"/>
  <c r="G20" s="1"/>
  <c r="G18" l="1"/>
  <c r="D19"/>
  <c r="D24" s="1"/>
  <c r="B24"/>
  <c r="I4" i="6" l="1"/>
  <c r="K2"/>
  <c r="G19" i="2"/>
  <c r="G24" s="1"/>
  <c r="C24"/>
  <c r="I5" i="6" l="1"/>
  <c r="I9" s="1"/>
  <c r="K9" s="1"/>
  <c r="D10"/>
  <c r="D21" s="1"/>
  <c r="D28" s="1"/>
  <c r="E10"/>
  <c r="E13" s="1"/>
  <c r="E15" s="1"/>
  <c r="E19" s="1"/>
  <c r="E41" s="1"/>
  <c r="E42" s="1"/>
  <c r="E43" s="1"/>
  <c r="I6" l="1"/>
  <c r="K6" s="1"/>
  <c r="C11" s="1"/>
  <c r="D11" s="1"/>
  <c r="D13" s="1"/>
  <c r="D15" s="1"/>
  <c r="D19" s="1"/>
  <c r="D41" s="1"/>
  <c r="D42" s="1"/>
  <c r="D43" s="1"/>
  <c r="E44"/>
  <c r="D44" l="1"/>
  <c r="D45" s="1"/>
  <c r="D46" s="1"/>
  <c r="D47" s="1"/>
  <c r="D49" s="1"/>
  <c r="E45"/>
  <c r="E46" s="1"/>
  <c r="E47" s="1"/>
  <c r="E49" s="1"/>
  <c r="F49" l="1"/>
  <c r="J24" i="2"/>
  <c r="E50" i="6" l="1"/>
  <c r="E51" s="1"/>
  <c r="D51"/>
</calcChain>
</file>

<file path=xl/sharedStrings.xml><?xml version="1.0" encoding="utf-8"?>
<sst xmlns="http://schemas.openxmlformats.org/spreadsheetml/2006/main" count="119" uniqueCount="111">
  <si>
    <t xml:space="preserve">DO NOT CHANGE CELL MARKED WITH RED  COLOUR </t>
  </si>
  <si>
    <t>Name ----&gt;</t>
  </si>
  <si>
    <t>Father's Name -&gt;</t>
  </si>
  <si>
    <t>Office Name</t>
  </si>
  <si>
    <t>Designation --&gt;</t>
  </si>
  <si>
    <t>Mobile No.</t>
  </si>
  <si>
    <t>Aadhar No</t>
  </si>
  <si>
    <t>PAN No. -----&gt;</t>
  </si>
  <si>
    <t>DOB-----&gt;</t>
  </si>
  <si>
    <t>Sevaarth ID</t>
  </si>
  <si>
    <t>Months</t>
  </si>
  <si>
    <t>ADDITION</t>
  </si>
  <si>
    <t>DEDUCTION</t>
  </si>
  <si>
    <t>Basic Pay</t>
  </si>
  <si>
    <t>D.A.</t>
  </si>
  <si>
    <t>HRA</t>
  </si>
  <si>
    <t>TA</t>
  </si>
  <si>
    <t>Net Pay</t>
  </si>
  <si>
    <t>GPF/DCPS</t>
  </si>
  <si>
    <t>GIS</t>
  </si>
  <si>
    <t>Income Tax</t>
  </si>
  <si>
    <t>P Tax</t>
  </si>
  <si>
    <t>HBA Principal</t>
  </si>
  <si>
    <t>HBA interest</t>
  </si>
  <si>
    <t>LIC Salary saving</t>
  </si>
  <si>
    <t>OTHER</t>
  </si>
  <si>
    <t>DA Arrears</t>
  </si>
  <si>
    <t>Total</t>
  </si>
  <si>
    <t>CERTIFIED THAT THE ABOVE INFORMATION FURNISHED BY ME IS CORRECT AND NO INCOME FROM ANY OTHER COURCES HAS BEEN RECEIVED BY ME.</t>
  </si>
  <si>
    <t>Govt Quarter If Yes then Type 1 else 0</t>
  </si>
  <si>
    <t>SIGN OF INCUMBENT</t>
  </si>
  <si>
    <t>Other income</t>
  </si>
  <si>
    <t>NAME :-</t>
  </si>
  <si>
    <t>CERTIFIED THAT THE ABOVE INFORMATION AS PER RECORD OF THIS OFFICE AND FOUND TO BE CORRECT.</t>
  </si>
  <si>
    <t>PRINCIPAL</t>
  </si>
  <si>
    <t xml:space="preserve">Name            :                                  </t>
  </si>
  <si>
    <t>Designation :</t>
  </si>
  <si>
    <t xml:space="preserve">PAN              :  </t>
  </si>
  <si>
    <t xml:space="preserve">Mobile          :  </t>
  </si>
  <si>
    <t>Sr. No.</t>
  </si>
  <si>
    <t>Particulars</t>
  </si>
  <si>
    <r>
      <rPr>
        <b/>
        <sz val="12"/>
        <rFont val="Book Antiqua"/>
        <family val="1"/>
      </rPr>
      <t>(For Emplyee Fill)</t>
    </r>
    <r>
      <rPr>
        <sz val="12"/>
        <rFont val="Book Antiqua"/>
        <family val="1"/>
      </rPr>
      <t xml:space="preserve">  Rs.</t>
    </r>
  </si>
  <si>
    <t>FOR HRA EXEMPTION ENTER RENT PER MONTH BELOW</t>
  </si>
  <si>
    <t>2)  Less : HRA Exempt</t>
  </si>
  <si>
    <t>3)  Less: Professional Tax</t>
  </si>
  <si>
    <t>Total :</t>
  </si>
  <si>
    <t>4)  Less: Standerd Deduction</t>
  </si>
  <si>
    <t>5)  Other Income</t>
  </si>
  <si>
    <t>6)  Saving Bank Interest</t>
  </si>
  <si>
    <t>7)  Housing Loan Interest (Max Upto 2 Lakh)</t>
  </si>
  <si>
    <t>iii) Less:  u/s 80D ( Mediclaim Max. 25000)</t>
  </si>
  <si>
    <t>iv) Less:  u/s 80U ( Self Handicapped)</t>
  </si>
  <si>
    <t>vii)  Less:  u/s 80G ( Donations )</t>
  </si>
  <si>
    <t>Total Deduction (i to v) as Above</t>
  </si>
  <si>
    <t>Less: Deductions u/s 80C</t>
  </si>
  <si>
    <t>b) i)  LIC Through Salary</t>
  </si>
  <si>
    <t>b) ii)  LIC Direct Payment</t>
  </si>
  <si>
    <t>c)  Housing Loan Repayment ( Principal )</t>
  </si>
  <si>
    <t>d)  Tuition Fee</t>
  </si>
  <si>
    <t>e)  PPF/ Sukanya Yojana</t>
  </si>
  <si>
    <t>f)  GIS</t>
  </si>
  <si>
    <t>HRA EXEMPTION CALCULATION</t>
  </si>
  <si>
    <t>g)  PLI</t>
  </si>
  <si>
    <t>Actual Amount of HRA Received</t>
  </si>
  <si>
    <t>h)  NSC</t>
  </si>
  <si>
    <t>Actually Rent Paid</t>
  </si>
  <si>
    <t>i)  Other</t>
  </si>
  <si>
    <t>Basic</t>
  </si>
  <si>
    <t>Total Deduction (a to i) Limited to Rs. 1,50,000</t>
  </si>
  <si>
    <t>D A</t>
  </si>
  <si>
    <t>Taxable Amount</t>
  </si>
  <si>
    <t>10 % of salary</t>
  </si>
  <si>
    <t>Taxable Amount (Round Up)</t>
  </si>
  <si>
    <t>RENT PER MONTH</t>
  </si>
  <si>
    <t>NO. OF MONTHS</t>
  </si>
  <si>
    <t>Total Tax</t>
  </si>
  <si>
    <t>Less: Rebate u/s 87A</t>
  </si>
  <si>
    <t>40% of Salary</t>
  </si>
  <si>
    <t>Tax</t>
  </si>
  <si>
    <t>(+) Cess 4%</t>
  </si>
  <si>
    <t>Less:  Relief U/s 89  ( Attach form 10E )</t>
  </si>
  <si>
    <t>NEW DA Arrears</t>
  </si>
  <si>
    <t>Arrears TO GPF</t>
  </si>
  <si>
    <t xml:space="preserve">1)  Gross Salary  </t>
  </si>
  <si>
    <t>DA Arrears /      Any other Income</t>
  </si>
  <si>
    <t>GOVERNMENT COLLEGE OF ENGINEERING, JALGAON</t>
  </si>
  <si>
    <t>viii)  Less:  u/s 80EEA ( Home loan intrest Corona )</t>
  </si>
  <si>
    <t>Calculations Old Regime Rs.</t>
  </si>
  <si>
    <t>PART B (Annexure)</t>
  </si>
  <si>
    <t>Employee Code</t>
  </si>
  <si>
    <t>Calculations     New Regime Rs.</t>
  </si>
  <si>
    <t xml:space="preserve"> (Signature of the Assessee)</t>
  </si>
  <si>
    <t>(Dr. Suhas Sudhakarrao Gajre)</t>
  </si>
  <si>
    <t>PAY/DA ARR</t>
  </si>
  <si>
    <t>STATEMENT SHOWING THE DETAILS OF SALARY DRAWN DURING 2024-2025</t>
  </si>
  <si>
    <r>
      <t xml:space="preserve"> Statement showing the  Income Tax Calculation sheet for the </t>
    </r>
    <r>
      <rPr>
        <sz val="16"/>
        <rFont val="Book Antiqua"/>
        <family val="1"/>
      </rPr>
      <t>F. Y. 2024-2025</t>
    </r>
  </si>
  <si>
    <r>
      <t xml:space="preserve">Assessment Year </t>
    </r>
    <r>
      <rPr>
        <sz val="16"/>
        <rFont val="Book Antiqua"/>
        <family val="1"/>
      </rPr>
      <t>2025-2026</t>
    </r>
  </si>
  <si>
    <t xml:space="preserve">        Declaration u/s 115BAC for opting Old Tax Regime/ New Tax Regime under Income Tax Act for computation of TDS on salary for the Financial Year 2024-25. </t>
  </si>
  <si>
    <t>Income Tax Payble (F. Y. 2024-25)</t>
  </si>
  <si>
    <t>TDS REQUIRED TO BE DEDUCTED (Feb-2025)</t>
  </si>
  <si>
    <t>Less: Already Paid TDS form Salary upto Jan 2025</t>
  </si>
  <si>
    <r>
      <t xml:space="preserve">         I                                                        hereby declare that I want to opt for  </t>
    </r>
    <r>
      <rPr>
        <b/>
        <sz val="14"/>
        <color theme="1"/>
        <rFont val="Book Antiqua"/>
        <family val="1"/>
      </rPr>
      <t>Old/New Tax Regime</t>
    </r>
    <r>
      <rPr>
        <sz val="12"/>
        <color theme="1"/>
        <rFont val="Book Antiqua"/>
        <family val="1"/>
      </rPr>
      <t xml:space="preserve"> under Income tax act for computation of of TDS on salary. I also know that if I opt for New Tax Regime than I will have to forgo all the deduction under the Income tax act and pay taxes as per the new slab rates notified by the Finance Act 2020. Whereas if I opt for Old Tax Regime than I will have get benefit of all the deduction under the Income tax act and pay taxes as per the old slab rates notified by the Finance Act 2020. </t>
    </r>
    <r>
      <rPr>
        <b/>
        <sz val="12"/>
        <color theme="1"/>
        <rFont val="Book Antiqua"/>
        <family val="1"/>
      </rPr>
      <t>If, I opt for Old Tax Regime then I will submit the Investment Declaration (Form-12BB) for the Financial Year 2024-25.</t>
    </r>
    <r>
      <rPr>
        <sz val="12"/>
        <color theme="1"/>
        <rFont val="Book Antiqua"/>
        <family val="1"/>
      </rPr>
      <t xml:space="preserve"> Please consider this declaration and calculate and deduct the TDS accordingly.</t>
    </r>
  </si>
  <si>
    <r>
      <t xml:space="preserve">i)   Less: u/s 80CCD (1B) </t>
    </r>
    <r>
      <rPr>
        <b/>
        <sz val="10"/>
        <rFont val="Book Antiqua"/>
        <family val="1"/>
      </rPr>
      <t>{ Self Contribution to NPS }</t>
    </r>
  </si>
  <si>
    <r>
      <t xml:space="preserve">ii)  Less:  u/s 80CCD (2) </t>
    </r>
    <r>
      <rPr>
        <b/>
        <sz val="12"/>
        <rFont val="Book Antiqua"/>
        <family val="1"/>
      </rPr>
      <t>{ Employer Contribution }</t>
    </r>
  </si>
  <si>
    <r>
      <t xml:space="preserve">v)  Less u/s 80 DD  </t>
    </r>
    <r>
      <rPr>
        <sz val="10"/>
        <rFont val="Book Antiqua"/>
        <family val="1"/>
      </rPr>
      <t>(Physically handicapp. Dependent  )</t>
    </r>
  </si>
  <si>
    <r>
      <t xml:space="preserve">vi) Less u/s 80 TTA </t>
    </r>
    <r>
      <rPr>
        <sz val="10"/>
        <rFont val="Book Antiqua"/>
        <family val="1"/>
      </rPr>
      <t>( Interest on Saving Max 10000)</t>
    </r>
  </si>
  <si>
    <r>
      <t xml:space="preserve">Opting </t>
    </r>
    <r>
      <rPr>
        <b/>
        <sz val="14"/>
        <color theme="1"/>
        <rFont val="Book Antiqua"/>
        <family val="1"/>
      </rPr>
      <t xml:space="preserve">Old Tax Regime </t>
    </r>
    <r>
      <rPr>
        <sz val="14"/>
        <color theme="1"/>
        <rFont val="Book Antiqua"/>
        <family val="1"/>
      </rPr>
      <t>under Income Tax Act for computation of TDS on salary for the Financial Year 2024-25 u/s 115BAC (</t>
    </r>
    <r>
      <rPr>
        <i/>
        <sz val="14"/>
        <color theme="1"/>
        <rFont val="Book Antiqua"/>
        <family val="1"/>
      </rPr>
      <t xml:space="preserve">Please put tickmark </t>
    </r>
    <r>
      <rPr>
        <sz val="14"/>
        <color theme="1"/>
        <rFont val="Wingdings 2"/>
        <family val="1"/>
        <charset val="2"/>
      </rPr>
      <t xml:space="preserve">P </t>
    </r>
    <r>
      <rPr>
        <i/>
        <sz val="14"/>
        <color theme="1"/>
        <rFont val="Book Antiqua"/>
        <family val="1"/>
      </rPr>
      <t xml:space="preserve">in the box given on the left if you wish to adopt </t>
    </r>
    <r>
      <rPr>
        <b/>
        <i/>
        <sz val="14"/>
        <color theme="1"/>
        <rFont val="Book Antiqua"/>
        <family val="1"/>
      </rPr>
      <t>Old Tax Regime</t>
    </r>
    <r>
      <rPr>
        <sz val="14"/>
        <color theme="1"/>
        <rFont val="Book Antiqua"/>
        <family val="1"/>
      </rPr>
      <t>)</t>
    </r>
  </si>
  <si>
    <r>
      <t xml:space="preserve">Opting </t>
    </r>
    <r>
      <rPr>
        <b/>
        <sz val="14"/>
        <color theme="1"/>
        <rFont val="Book Antiqua"/>
        <family val="1"/>
      </rPr>
      <t xml:space="preserve">New Tax Regime </t>
    </r>
    <r>
      <rPr>
        <sz val="14"/>
        <color theme="1"/>
        <rFont val="Book Antiqua"/>
        <family val="1"/>
      </rPr>
      <t>under Income Tax Act for computation of TDS on salary for the Financial Year 2024-25 u/s 115BAC (</t>
    </r>
    <r>
      <rPr>
        <i/>
        <sz val="14"/>
        <color theme="1"/>
        <rFont val="Book Antiqua"/>
        <family val="1"/>
      </rPr>
      <t xml:space="preserve">Please put tickmark </t>
    </r>
    <r>
      <rPr>
        <sz val="14"/>
        <color theme="1"/>
        <rFont val="Wingdings"/>
        <charset val="2"/>
      </rPr>
      <t>ü</t>
    </r>
    <r>
      <rPr>
        <i/>
        <sz val="14"/>
        <color theme="1"/>
        <rFont val="Book Antiqua"/>
        <family val="1"/>
      </rPr>
      <t xml:space="preserve"> in the box given on the left if you wish to adopt </t>
    </r>
    <r>
      <rPr>
        <b/>
        <i/>
        <sz val="14"/>
        <color theme="1"/>
        <rFont val="Book Antiqua"/>
        <family val="1"/>
      </rPr>
      <t>New Tax Regime</t>
    </r>
    <r>
      <rPr>
        <sz val="14"/>
        <color theme="1"/>
        <rFont val="Book Antiqua"/>
        <family val="1"/>
      </rPr>
      <t>)</t>
    </r>
  </si>
  <si>
    <r>
      <t xml:space="preserve">a)   </t>
    </r>
    <r>
      <rPr>
        <b/>
        <sz val="12"/>
        <rFont val="Book Antiqua"/>
        <family val="1"/>
      </rPr>
      <t>DCPS  { Employee Contribution }</t>
    </r>
  </si>
  <si>
    <t>DCPS NO</t>
  </si>
  <si>
    <r>
      <t xml:space="preserve">                Certified that the details furnished by me in this statement are correct to the best of my knowledge and belief. I wish to adopt  </t>
    </r>
    <r>
      <rPr>
        <b/>
        <sz val="13"/>
        <rFont val="Book Antiqua"/>
        <family val="1"/>
      </rPr>
      <t xml:space="preserve">Old / New Tax Regime </t>
    </r>
    <r>
      <rPr>
        <sz val="13"/>
        <rFont val="Book Antiqua"/>
        <family val="1"/>
      </rPr>
      <t>of tax calculation.</t>
    </r>
  </si>
</sst>
</file>

<file path=xl/styles.xml><?xml version="1.0" encoding="utf-8"?>
<styleSheet xmlns="http://schemas.openxmlformats.org/spreadsheetml/2006/main">
  <numFmts count="3">
    <numFmt numFmtId="164" formatCode="0_);\(0\)"/>
    <numFmt numFmtId="165" formatCode="mmmm\ yyyy"/>
    <numFmt numFmtId="166" formatCode="dd\ mmmm\ yyyy"/>
  </numFmts>
  <fonts count="6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sz val="14"/>
      <color rgb="FFFF0000"/>
      <name val="Book Antiqua"/>
      <family val="1"/>
    </font>
    <font>
      <sz val="15"/>
      <name val="Book Antiqua"/>
      <family val="1"/>
    </font>
    <font>
      <sz val="13"/>
      <name val="Book Antiqua"/>
      <family val="1"/>
    </font>
    <font>
      <b/>
      <sz val="13"/>
      <color rgb="FFFF0000"/>
      <name val="Book Antiqua"/>
      <family val="1"/>
    </font>
    <font>
      <b/>
      <sz val="13"/>
      <name val="Book Antiqua"/>
      <family val="1"/>
    </font>
    <font>
      <sz val="12"/>
      <name val="Book Antiqua"/>
      <family val="1"/>
    </font>
    <font>
      <b/>
      <sz val="12"/>
      <color rgb="FFBF0B0B"/>
      <name val="Book Antiqua"/>
      <family val="1"/>
    </font>
    <font>
      <b/>
      <sz val="12"/>
      <name val="Book Antiqua"/>
      <family val="1"/>
    </font>
    <font>
      <sz val="12"/>
      <color rgb="FFFF0000"/>
      <name val="Book Antiqua"/>
      <family val="1"/>
    </font>
    <font>
      <sz val="12"/>
      <color rgb="FFBF0B0B"/>
      <name val="Book Antiqua"/>
      <family val="1"/>
    </font>
    <font>
      <b/>
      <sz val="16"/>
      <color rgb="FFBF0B0B"/>
      <name val="Book Antiqua"/>
      <family val="1"/>
    </font>
    <font>
      <sz val="8"/>
      <color theme="1"/>
      <name val="Mistral"/>
      <family val="4"/>
    </font>
    <font>
      <u/>
      <sz val="12"/>
      <name val="Book Antiqua"/>
      <family val="1"/>
    </font>
    <font>
      <sz val="18"/>
      <color rgb="FFFF0000"/>
      <name val="Book Antiqua"/>
      <family val="1"/>
    </font>
    <font>
      <sz val="12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12"/>
      <color theme="1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  <family val="2"/>
    </font>
    <font>
      <sz val="16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 Narrow"/>
      <family val="2"/>
    </font>
    <font>
      <sz val="20"/>
      <name val="Arial"/>
      <family val="2"/>
    </font>
    <font>
      <sz val="14"/>
      <color rgb="FFC00000"/>
      <name val="Arial"/>
      <family val="2"/>
    </font>
    <font>
      <b/>
      <sz val="18"/>
      <name val="Book Antiqua"/>
      <family val="1"/>
    </font>
    <font>
      <sz val="18"/>
      <name val="Book Antiqua"/>
      <family val="1"/>
    </font>
    <font>
      <b/>
      <sz val="18"/>
      <color rgb="FF092DE3"/>
      <name val="Book Antiqua"/>
      <family val="1"/>
    </font>
    <font>
      <u/>
      <sz val="11"/>
      <color theme="10"/>
      <name val="Calibri"/>
      <family val="2"/>
      <scheme val="minor"/>
    </font>
    <font>
      <b/>
      <u/>
      <sz val="9"/>
      <color indexed="12"/>
      <name val="Arial"/>
      <family val="2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4"/>
      <color theme="1"/>
      <name val="Book Antiqua"/>
      <family val="1"/>
    </font>
    <font>
      <sz val="14"/>
      <color theme="1"/>
      <name val="Book Antiqua"/>
      <family val="1"/>
    </font>
    <font>
      <sz val="14"/>
      <color rgb="FFFFFF00"/>
      <name val="Book Antiqua"/>
      <family val="1"/>
    </font>
    <font>
      <sz val="14"/>
      <color rgb="FFFF0000"/>
      <name val="Arial"/>
      <family val="2"/>
    </font>
    <font>
      <i/>
      <sz val="14"/>
      <color theme="1"/>
      <name val="Book Antiqua"/>
      <family val="1"/>
    </font>
    <font>
      <b/>
      <i/>
      <sz val="14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FF0000"/>
      <name val="Book Antiqua"/>
      <family val="1"/>
    </font>
    <font>
      <sz val="11"/>
      <color theme="1"/>
      <name val="Book Antiqua"/>
      <family val="1"/>
    </font>
    <font>
      <b/>
      <sz val="12"/>
      <color rgb="FFFF0000"/>
      <name val="Book Antiqua"/>
      <family val="1"/>
    </font>
    <font>
      <sz val="8"/>
      <color rgb="FFFF0000"/>
      <name val="Book Antiqua"/>
      <family val="1"/>
    </font>
    <font>
      <b/>
      <sz val="9"/>
      <name val="Book Antiqua"/>
      <family val="1"/>
    </font>
    <font>
      <b/>
      <sz val="11"/>
      <color rgb="FF0070C0"/>
      <name val="Book Antiqua"/>
      <family val="1"/>
    </font>
    <font>
      <sz val="14"/>
      <name val="Book Antiqua"/>
      <family val="1"/>
    </font>
    <font>
      <b/>
      <sz val="14"/>
      <name val="Book Antiqua"/>
      <family val="1"/>
    </font>
    <font>
      <sz val="10"/>
      <color theme="1"/>
      <name val="Book Antiqua"/>
      <family val="1"/>
    </font>
    <font>
      <sz val="14"/>
      <color theme="1"/>
      <name val="Wingdings 2"/>
      <family val="1"/>
      <charset val="2"/>
    </font>
    <font>
      <sz val="14"/>
      <color theme="1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38" fillId="0" borderId="0" applyNumberFormat="0" applyFill="0" applyBorder="0" applyAlignment="0" applyProtection="0"/>
  </cellStyleXfs>
  <cellXfs count="167">
    <xf numFmtId="0" fontId="0" fillId="0" borderId="0" xfId="0"/>
    <xf numFmtId="0" fontId="2" fillId="2" borderId="0" xfId="0" applyFont="1" applyFill="1" applyAlignment="1">
      <alignment vertical="center"/>
    </xf>
    <xf numFmtId="0" fontId="8" fillId="0" borderId="3" xfId="2" applyFont="1" applyBorder="1" applyAlignment="1" applyProtection="1">
      <alignment horizontal="center" vertical="center"/>
      <protection locked="0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 applyProtection="1">
      <alignment vertical="center"/>
      <protection locked="0"/>
    </xf>
    <xf numFmtId="1" fontId="11" fillId="2" borderId="1" xfId="2" applyNumberFormat="1" applyFont="1" applyFill="1" applyBorder="1" applyAlignment="1" applyProtection="1">
      <alignment vertical="center"/>
      <protection locked="0"/>
    </xf>
    <xf numFmtId="1" fontId="12" fillId="2" borderId="1" xfId="2" applyNumberFormat="1" applyFont="1" applyFill="1" applyBorder="1" applyAlignment="1">
      <alignment vertical="center"/>
    </xf>
    <xf numFmtId="1" fontId="8" fillId="2" borderId="1" xfId="2" applyNumberFormat="1" applyFont="1" applyFill="1" applyBorder="1" applyAlignment="1" applyProtection="1">
      <alignment vertical="center"/>
      <protection locked="0"/>
    </xf>
    <xf numFmtId="0" fontId="10" fillId="0" borderId="1" xfId="2" applyFont="1" applyBorder="1" applyAlignment="1" applyProtection="1">
      <alignment horizontal="center" vertical="center"/>
      <protection locked="0"/>
    </xf>
    <xf numFmtId="1" fontId="9" fillId="3" borderId="1" xfId="2" applyNumberFormat="1" applyFont="1" applyFill="1" applyBorder="1" applyAlignment="1">
      <alignment vertical="center"/>
    </xf>
    <xf numFmtId="1" fontId="8" fillId="2" borderId="0" xfId="2" applyNumberFormat="1" applyFont="1" applyFill="1" applyAlignment="1" applyProtection="1">
      <alignment vertical="center"/>
      <protection locked="0"/>
    </xf>
    <xf numFmtId="1" fontId="9" fillId="2" borderId="1" xfId="2" applyNumberFormat="1" applyFont="1" applyFill="1" applyBorder="1" applyAlignment="1">
      <alignment vertical="center"/>
    </xf>
    <xf numFmtId="1" fontId="8" fillId="6" borderId="0" xfId="2" applyNumberFormat="1" applyFont="1" applyFill="1" applyAlignment="1" applyProtection="1">
      <alignment vertical="center"/>
      <protection locked="0"/>
    </xf>
    <xf numFmtId="0" fontId="10" fillId="0" borderId="1" xfId="2" applyFont="1" applyBorder="1" applyAlignment="1" applyProtection="1">
      <alignment vertical="center"/>
      <protection locked="0"/>
    </xf>
    <xf numFmtId="1" fontId="13" fillId="2" borderId="1" xfId="2" applyNumberFormat="1" applyFont="1" applyFill="1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Alignment="1">
      <alignment horizontal="righ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2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/>
      <protection locked="0"/>
    </xf>
    <xf numFmtId="1" fontId="10" fillId="3" borderId="0" xfId="2" applyNumberFormat="1" applyFont="1" applyFill="1" applyAlignment="1" applyProtection="1">
      <alignment vertical="center"/>
      <protection locked="0"/>
    </xf>
    <xf numFmtId="164" fontId="9" fillId="2" borderId="1" xfId="2" applyNumberFormat="1" applyFont="1" applyFill="1" applyBorder="1" applyAlignment="1">
      <alignment vertical="center"/>
    </xf>
    <xf numFmtId="164" fontId="10" fillId="2" borderId="0" xfId="2" applyNumberFormat="1" applyFont="1" applyFill="1" applyAlignment="1" applyProtection="1">
      <alignment vertical="center"/>
      <protection locked="0"/>
    </xf>
    <xf numFmtId="164" fontId="9" fillId="3" borderId="1" xfId="2" applyNumberFormat="1" applyFont="1" applyFill="1" applyBorder="1" applyAlignment="1">
      <alignment vertical="center"/>
    </xf>
    <xf numFmtId="164" fontId="10" fillId="3" borderId="0" xfId="2" applyNumberFormat="1" applyFont="1" applyFill="1" applyAlignment="1" applyProtection="1">
      <alignment vertical="center"/>
      <protection locked="0"/>
    </xf>
    <xf numFmtId="1" fontId="12" fillId="6" borderId="1" xfId="2" applyNumberFormat="1" applyFont="1" applyFill="1" applyBorder="1" applyAlignment="1">
      <alignment vertical="center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9" fillId="4" borderId="1" xfId="2" applyNumberFormat="1" applyFont="1" applyFill="1" applyBorder="1" applyAlignment="1">
      <alignment vertical="center"/>
    </xf>
    <xf numFmtId="1" fontId="10" fillId="4" borderId="0" xfId="2" applyNumberFormat="1" applyFont="1" applyFill="1" applyAlignment="1" applyProtection="1">
      <alignment vertical="center"/>
      <protection locked="0"/>
    </xf>
    <xf numFmtId="0" fontId="15" fillId="0" borderId="1" xfId="2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1" fontId="10" fillId="2" borderId="0" xfId="2" applyNumberFormat="1" applyFont="1" applyFill="1" applyAlignment="1" applyProtection="1">
      <alignment vertical="center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65" fontId="17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right" vertical="center"/>
      <protection locked="0"/>
    </xf>
    <xf numFmtId="0" fontId="21" fillId="0" borderId="1" xfId="0" applyFont="1" applyBorder="1" applyAlignment="1" applyProtection="1">
      <alignment horizontal="right" vertical="center"/>
      <protection locked="0"/>
    </xf>
    <xf numFmtId="0" fontId="21" fillId="0" borderId="3" xfId="0" applyFont="1" applyBorder="1" applyAlignment="1">
      <alignment horizontal="right" vertical="center"/>
    </xf>
    <xf numFmtId="0" fontId="20" fillId="0" borderId="1" xfId="0" applyFont="1" applyBorder="1" applyAlignment="1" applyProtection="1">
      <alignment vertical="center"/>
      <protection locked="0"/>
    </xf>
    <xf numFmtId="0" fontId="21" fillId="0" borderId="1" xfId="0" applyFont="1" applyBorder="1" applyAlignment="1" applyProtection="1">
      <alignment vertical="center"/>
      <protection locked="0"/>
    </xf>
    <xf numFmtId="17" fontId="17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Protection="1">
      <protection locked="0"/>
    </xf>
    <xf numFmtId="0" fontId="22" fillId="0" borderId="1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3" xfId="0" quotePrefix="1" applyFont="1" applyBorder="1" applyAlignment="1" applyProtection="1">
      <alignment horizontal="left" vertical="center"/>
      <protection locked="0"/>
    </xf>
    <xf numFmtId="17" fontId="31" fillId="0" borderId="1" xfId="0" applyNumberFormat="1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vertical="center"/>
      <protection locked="0"/>
    </xf>
    <xf numFmtId="1" fontId="2" fillId="2" borderId="0" xfId="0" applyNumberFormat="1" applyFont="1" applyFill="1" applyAlignment="1" applyProtection="1">
      <alignment vertical="center"/>
      <protection locked="0"/>
    </xf>
    <xf numFmtId="1" fontId="35" fillId="2" borderId="0" xfId="2" applyNumberFormat="1" applyFont="1" applyFill="1" applyAlignment="1" applyProtection="1">
      <alignment vertical="center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vertical="center"/>
      <protection locked="0"/>
    </xf>
    <xf numFmtId="1" fontId="13" fillId="2" borderId="0" xfId="2" applyNumberFormat="1" applyFont="1" applyFill="1" applyAlignment="1">
      <alignment vertical="center"/>
    </xf>
    <xf numFmtId="1" fontId="37" fillId="2" borderId="1" xfId="2" applyNumberFormat="1" applyFont="1" applyFill="1" applyBorder="1" applyAlignment="1" applyProtection="1">
      <alignment vertical="center"/>
      <protection locked="0"/>
    </xf>
    <xf numFmtId="1" fontId="12" fillId="0" borderId="1" xfId="2" applyNumberFormat="1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vertical="center"/>
      <protection locked="0"/>
    </xf>
    <xf numFmtId="0" fontId="39" fillId="0" borderId="0" xfId="5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3" fillId="2" borderId="0" xfId="0" applyFont="1" applyFill="1" applyAlignment="1" applyProtection="1">
      <alignment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1" fontId="45" fillId="0" borderId="1" xfId="0" applyNumberFormat="1" applyFont="1" applyBorder="1" applyAlignment="1" applyProtection="1">
      <alignment horizontal="right" vertical="center"/>
      <protection locked="0"/>
    </xf>
    <xf numFmtId="0" fontId="43" fillId="0" borderId="0" xfId="0" applyFont="1" applyBorder="1" applyAlignment="1" applyProtection="1">
      <alignment horizontal="left" vertical="center" wrapText="1"/>
      <protection locked="0"/>
    </xf>
    <xf numFmtId="0" fontId="43" fillId="0" borderId="9" xfId="0" applyFont="1" applyBorder="1" applyAlignment="1" applyProtection="1">
      <alignment horizontal="left" vertical="center" wrapText="1"/>
      <protection locked="0"/>
    </xf>
    <xf numFmtId="0" fontId="43" fillId="0" borderId="0" xfId="0" applyFont="1" applyBorder="1" applyAlignment="1" applyProtection="1">
      <alignment horizontal="left" vertical="top" wrapText="1"/>
      <protection locked="0"/>
    </xf>
    <xf numFmtId="0" fontId="48" fillId="0" borderId="1" xfId="0" applyFont="1" applyBorder="1" applyAlignment="1">
      <alignment vertical="center"/>
    </xf>
    <xf numFmtId="0" fontId="49" fillId="0" borderId="1" xfId="0" applyFont="1" applyBorder="1" applyAlignment="1">
      <alignment vertical="center"/>
    </xf>
    <xf numFmtId="0" fontId="50" fillId="0" borderId="1" xfId="0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1" fontId="50" fillId="0" borderId="1" xfId="0" applyNumberFormat="1" applyFont="1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" fontId="29" fillId="0" borderId="4" xfId="2" applyNumberFormat="1" applyFont="1" applyBorder="1" applyAlignment="1" applyProtection="1">
      <alignment vertical="center"/>
      <protection locked="0"/>
    </xf>
    <xf numFmtId="0" fontId="54" fillId="0" borderId="0" xfId="3" applyFont="1" applyAlignment="1" applyProtection="1">
      <alignment vertical="center"/>
      <protection locked="0"/>
    </xf>
    <xf numFmtId="1" fontId="54" fillId="2" borderId="0" xfId="3" applyNumberFormat="1" applyFont="1" applyFill="1" applyAlignment="1" applyProtection="1">
      <alignment vertical="center"/>
      <protection locked="0"/>
    </xf>
    <xf numFmtId="1" fontId="54" fillId="4" borderId="0" xfId="3" applyNumberFormat="1" applyFont="1" applyFill="1" applyAlignment="1" applyProtection="1">
      <alignment vertical="center"/>
      <protection locked="0"/>
    </xf>
    <xf numFmtId="0" fontId="48" fillId="0" borderId="0" xfId="1" applyFont="1" applyAlignment="1" applyProtection="1">
      <alignment vertical="center"/>
      <protection locked="0"/>
    </xf>
    <xf numFmtId="1" fontId="48" fillId="0" borderId="0" xfId="1" applyNumberFormat="1" applyFont="1" applyAlignment="1" applyProtection="1">
      <alignment vertical="center"/>
      <protection locked="0"/>
    </xf>
    <xf numFmtId="164" fontId="48" fillId="0" borderId="0" xfId="1" applyNumberFormat="1" applyFont="1" applyAlignment="1" applyProtection="1">
      <alignment vertical="center"/>
      <protection locked="0"/>
    </xf>
    <xf numFmtId="1" fontId="48" fillId="2" borderId="0" xfId="1" applyNumberFormat="1" applyFont="1" applyFill="1" applyAlignment="1" applyProtection="1">
      <alignment vertical="center"/>
      <protection locked="0"/>
    </xf>
    <xf numFmtId="0" fontId="48" fillId="0" borderId="0" xfId="3" applyFont="1" applyAlignment="1" applyProtection="1">
      <alignment vertical="center"/>
      <protection locked="0"/>
    </xf>
    <xf numFmtId="1" fontId="48" fillId="4" borderId="0" xfId="1" applyNumberFormat="1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5" fillId="0" borderId="0" xfId="0" applyFont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5" fillId="0" borderId="0" xfId="0" applyFont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6" fillId="0" borderId="0" xfId="0" applyFont="1" applyAlignment="1" applyProtection="1">
      <alignment vertical="center"/>
      <protection locked="0"/>
    </xf>
    <xf numFmtId="0" fontId="57" fillId="2" borderId="0" xfId="0" applyFont="1" applyFill="1" applyAlignment="1">
      <alignment horizontal="right" vertical="center"/>
    </xf>
    <xf numFmtId="0" fontId="7" fillId="0" borderId="0" xfId="0" applyFont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1" xfId="0" quotePrefix="1" applyFont="1" applyBorder="1" applyAlignment="1" applyProtection="1">
      <alignment horizontal="center" vertical="center"/>
      <protection locked="0"/>
    </xf>
    <xf numFmtId="1" fontId="30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horizontal="center" vertical="center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66" fontId="19" fillId="0" borderId="3" xfId="0" applyNumberFormat="1" applyFont="1" applyBorder="1" applyAlignment="1" applyProtection="1">
      <alignment horizontal="center" vertical="center"/>
      <protection locked="0"/>
    </xf>
    <xf numFmtId="166" fontId="19" fillId="0" borderId="4" xfId="0" applyNumberFormat="1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2" fontId="30" fillId="0" borderId="1" xfId="0" applyNumberFormat="1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55" fillId="0" borderId="0" xfId="0" applyFont="1" applyAlignment="1" applyProtection="1">
      <alignment horizontal="center" vertical="center"/>
      <protection locked="0"/>
    </xf>
    <xf numFmtId="0" fontId="36" fillId="0" borderId="2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6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3" fillId="0" borderId="0" xfId="0" applyFont="1" applyBorder="1" applyAlignment="1" applyProtection="1">
      <alignment horizontal="left" vertical="top" wrapText="1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48" fillId="0" borderId="0" xfId="1" applyFont="1" applyAlignment="1" applyProtection="1">
      <alignment horizontal="center" vertical="center"/>
      <protection locked="0"/>
    </xf>
    <xf numFmtId="0" fontId="48" fillId="5" borderId="0" xfId="1" applyFont="1" applyFill="1" applyAlignment="1" applyProtection="1">
      <alignment horizontal="center" vertical="center"/>
      <protection locked="0"/>
    </xf>
    <xf numFmtId="0" fontId="44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1" fontId="6" fillId="0" borderId="4" xfId="0" applyNumberFormat="1" applyFont="1" applyBorder="1" applyAlignment="1" applyProtection="1">
      <alignment horizontal="center" vertical="center"/>
      <protection locked="0"/>
    </xf>
    <xf numFmtId="1" fontId="53" fillId="2" borderId="1" xfId="2" applyNumberFormat="1" applyFont="1" applyFill="1" applyBorder="1" applyAlignment="1" applyProtection="1">
      <alignment horizontal="center" vertical="center" wrapText="1"/>
      <protection locked="0"/>
    </xf>
  </cellXfs>
  <cellStyles count="6">
    <cellStyle name="Hyperlink" xfId="5" builtinId="8"/>
    <cellStyle name="Normal" xfId="0" builtinId="0"/>
    <cellStyle name="Normal 2" xfId="2"/>
    <cellStyle name="Normal 3" xfId="4"/>
    <cellStyle name="Normal 7" xfId="3"/>
    <cellStyle name="Normal 9" xfId="1"/>
  </cellStyles>
  <dxfs count="0"/>
  <tableStyles count="0" defaultTableStyle="TableStyleMedium9" defaultPivotStyle="PivotStyleLight16"/>
  <colors>
    <mruColors>
      <color rgb="FF092DE3"/>
      <color rgb="FFBF0B0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43"/>
  <sheetViews>
    <sheetView tabSelected="1" view="pageBreakPreview" zoomScale="85" zoomScaleNormal="55" workbookViewId="0">
      <selection activeCell="L8" sqref="L8"/>
    </sheetView>
  </sheetViews>
  <sheetFormatPr defaultColWidth="9.140625" defaultRowHeight="15"/>
  <cols>
    <col min="1" max="1" width="20.140625" style="37" customWidth="1"/>
    <col min="2" max="2" width="12.28515625" style="38" customWidth="1"/>
    <col min="3" max="3" width="13" style="38" customWidth="1"/>
    <col min="4" max="4" width="15.140625" style="38" customWidth="1"/>
    <col min="5" max="5" width="11.85546875" style="38" customWidth="1"/>
    <col min="6" max="6" width="14.85546875" style="38" customWidth="1"/>
    <col min="7" max="7" width="19.42578125" style="38" customWidth="1"/>
    <col min="8" max="8" width="13.140625" style="38" customWidth="1"/>
    <col min="9" max="9" width="13.85546875" style="38" customWidth="1"/>
    <col min="10" max="10" width="10.7109375" style="38" customWidth="1"/>
    <col min="11" max="11" width="14.85546875" style="38" customWidth="1"/>
    <col min="12" max="12" width="12.5703125" style="38" customWidth="1"/>
    <col min="13" max="13" width="10.42578125" style="38" customWidth="1"/>
    <col min="14" max="14" width="12.5703125" style="38" customWidth="1"/>
    <col min="15" max="15" width="12.7109375" style="38" customWidth="1"/>
    <col min="16" max="16" width="14.28515625" style="38" customWidth="1"/>
    <col min="17" max="16384" width="9.140625" style="38"/>
  </cols>
  <sheetData>
    <row r="1" spans="1:16" ht="27" customHeight="1">
      <c r="A1" s="136" t="s">
        <v>94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24" t="s">
        <v>0</v>
      </c>
    </row>
    <row r="2" spans="1:16" ht="20.25" customHeight="1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24"/>
    </row>
    <row r="3" spans="1:16" ht="24.75" customHeight="1">
      <c r="A3" s="39" t="s">
        <v>1</v>
      </c>
      <c r="B3" s="116"/>
      <c r="C3" s="117"/>
      <c r="D3" s="117"/>
      <c r="E3" s="117"/>
      <c r="F3" s="118"/>
      <c r="G3" s="40" t="s">
        <v>2</v>
      </c>
      <c r="H3" s="114"/>
      <c r="I3" s="114"/>
      <c r="J3" s="114"/>
      <c r="K3" s="39" t="s">
        <v>3</v>
      </c>
      <c r="L3" s="115" t="s">
        <v>85</v>
      </c>
      <c r="M3" s="115"/>
      <c r="N3" s="115"/>
      <c r="O3" s="115"/>
      <c r="P3" s="124"/>
    </row>
    <row r="4" spans="1:16" ht="21.75" customHeight="1">
      <c r="A4" s="39" t="s">
        <v>4</v>
      </c>
      <c r="B4" s="116"/>
      <c r="C4" s="117"/>
      <c r="D4" s="117"/>
      <c r="E4" s="117"/>
      <c r="F4" s="118"/>
      <c r="G4" s="40" t="s">
        <v>5</v>
      </c>
      <c r="H4" s="119"/>
      <c r="I4" s="114"/>
      <c r="J4" s="114"/>
      <c r="K4" s="39" t="s">
        <v>6</v>
      </c>
      <c r="L4" s="120"/>
      <c r="M4" s="120"/>
      <c r="N4" s="120"/>
      <c r="O4" s="120"/>
      <c r="P4" s="124"/>
    </row>
    <row r="5" spans="1:16" ht="25.5" customHeight="1">
      <c r="A5" s="39" t="s">
        <v>7</v>
      </c>
      <c r="B5" s="116"/>
      <c r="C5" s="118"/>
      <c r="D5" s="39" t="s">
        <v>8</v>
      </c>
      <c r="E5" s="129"/>
      <c r="F5" s="130"/>
      <c r="G5" s="40" t="s">
        <v>9</v>
      </c>
      <c r="H5" s="131"/>
      <c r="I5" s="114"/>
      <c r="J5" s="114"/>
      <c r="K5" s="39" t="s">
        <v>109</v>
      </c>
      <c r="L5" s="132"/>
      <c r="M5" s="132"/>
      <c r="N5" s="132"/>
      <c r="O5" s="132"/>
      <c r="P5" s="124"/>
    </row>
    <row r="6" spans="1:16" s="36" customFormat="1" ht="23.25" customHeight="1">
      <c r="A6" s="122" t="s">
        <v>10</v>
      </c>
      <c r="B6" s="133" t="s">
        <v>11</v>
      </c>
      <c r="C6" s="134"/>
      <c r="D6" s="134"/>
      <c r="E6" s="134"/>
      <c r="F6" s="134"/>
      <c r="G6" s="134"/>
      <c r="H6" s="135" t="s">
        <v>12</v>
      </c>
      <c r="I6" s="135"/>
      <c r="J6" s="135"/>
      <c r="K6" s="135"/>
      <c r="L6" s="135"/>
      <c r="M6" s="135"/>
      <c r="N6" s="135"/>
      <c r="O6" s="135"/>
      <c r="P6" s="124"/>
    </row>
    <row r="7" spans="1:16" s="36" customFormat="1" ht="37.5" customHeight="1">
      <c r="A7" s="123"/>
      <c r="B7" s="43" t="s">
        <v>13</v>
      </c>
      <c r="C7" s="43" t="s">
        <v>14</v>
      </c>
      <c r="D7" s="43" t="s">
        <v>15</v>
      </c>
      <c r="E7" s="43" t="s">
        <v>16</v>
      </c>
      <c r="F7" s="43" t="s">
        <v>93</v>
      </c>
      <c r="G7" s="42" t="s">
        <v>17</v>
      </c>
      <c r="H7" s="43" t="s">
        <v>18</v>
      </c>
      <c r="I7" s="43" t="s">
        <v>19</v>
      </c>
      <c r="J7" s="43" t="s">
        <v>20</v>
      </c>
      <c r="K7" s="43" t="s">
        <v>21</v>
      </c>
      <c r="L7" s="43" t="s">
        <v>22</v>
      </c>
      <c r="M7" s="43" t="s">
        <v>23</v>
      </c>
      <c r="N7" s="43" t="s">
        <v>24</v>
      </c>
      <c r="O7" s="43" t="s">
        <v>25</v>
      </c>
    </row>
    <row r="8" spans="1:16" ht="24" customHeight="1">
      <c r="A8" s="44">
        <v>45352</v>
      </c>
      <c r="B8" s="45">
        <v>0</v>
      </c>
      <c r="C8" s="46">
        <f>ROUND((B8*0.5),0)</f>
        <v>0</v>
      </c>
      <c r="D8" s="46">
        <f>IF(($B$27=1),0,(ROUND((B8*0.09),0)))</f>
        <v>0</v>
      </c>
      <c r="E8" s="46">
        <v>0</v>
      </c>
      <c r="F8" s="46">
        <v>0</v>
      </c>
      <c r="G8" s="47">
        <f t="shared" ref="G8:G23" si="0">SUM(B8:F8)</f>
        <v>0</v>
      </c>
      <c r="H8" s="45">
        <v>0</v>
      </c>
      <c r="I8" s="45">
        <v>0</v>
      </c>
      <c r="J8" s="45">
        <v>0</v>
      </c>
      <c r="K8" s="46">
        <v>200</v>
      </c>
      <c r="L8" s="45">
        <v>0</v>
      </c>
      <c r="M8" s="45">
        <v>0</v>
      </c>
      <c r="N8" s="45">
        <v>0</v>
      </c>
      <c r="O8" s="45">
        <v>0</v>
      </c>
    </row>
    <row r="9" spans="1:16" ht="24" customHeight="1">
      <c r="A9" s="44">
        <v>45383</v>
      </c>
      <c r="B9" s="66">
        <f>B8</f>
        <v>0</v>
      </c>
      <c r="C9" s="46">
        <f t="shared" ref="C9:C19" si="1">ROUND((B9*0.5),0)</f>
        <v>0</v>
      </c>
      <c r="D9" s="46">
        <f t="shared" ref="D9:D19" si="2">IF(($B$27=1),0,(ROUND((B9*0.09),0)))</f>
        <v>0</v>
      </c>
      <c r="E9" s="46">
        <v>0</v>
      </c>
      <c r="F9" s="46">
        <v>0</v>
      </c>
      <c r="G9" s="47">
        <f t="shared" si="0"/>
        <v>0</v>
      </c>
      <c r="H9" s="45">
        <v>0</v>
      </c>
      <c r="I9" s="66">
        <f>I8</f>
        <v>0</v>
      </c>
      <c r="J9" s="45">
        <v>0</v>
      </c>
      <c r="K9" s="49">
        <v>200</v>
      </c>
      <c r="L9" s="45">
        <v>0</v>
      </c>
      <c r="M9" s="48">
        <v>0</v>
      </c>
      <c r="N9" s="45">
        <v>0</v>
      </c>
      <c r="O9" s="48">
        <v>0</v>
      </c>
    </row>
    <row r="10" spans="1:16" ht="24" customHeight="1">
      <c r="A10" s="44">
        <v>45413</v>
      </c>
      <c r="B10" s="66">
        <f>B9</f>
        <v>0</v>
      </c>
      <c r="C10" s="46">
        <f t="shared" si="1"/>
        <v>0</v>
      </c>
      <c r="D10" s="46">
        <f t="shared" si="2"/>
        <v>0</v>
      </c>
      <c r="E10" s="46">
        <v>0</v>
      </c>
      <c r="F10" s="46">
        <v>0</v>
      </c>
      <c r="G10" s="47">
        <f t="shared" si="0"/>
        <v>0</v>
      </c>
      <c r="H10" s="45">
        <v>0</v>
      </c>
      <c r="I10" s="66">
        <f t="shared" ref="I10:I19" si="3">I9</f>
        <v>0</v>
      </c>
      <c r="J10" s="45">
        <v>0</v>
      </c>
      <c r="K10" s="49">
        <v>200</v>
      </c>
      <c r="L10" s="45">
        <v>0</v>
      </c>
      <c r="M10" s="48">
        <v>0</v>
      </c>
      <c r="N10" s="45">
        <v>0</v>
      </c>
      <c r="O10" s="48">
        <v>0</v>
      </c>
    </row>
    <row r="11" spans="1:16" ht="24" customHeight="1">
      <c r="A11" s="44">
        <v>45444</v>
      </c>
      <c r="B11" s="66">
        <f>B10</f>
        <v>0</v>
      </c>
      <c r="C11" s="46">
        <f t="shared" si="1"/>
        <v>0</v>
      </c>
      <c r="D11" s="46">
        <f t="shared" si="2"/>
        <v>0</v>
      </c>
      <c r="E11" s="46">
        <v>0</v>
      </c>
      <c r="F11" s="46">
        <v>0</v>
      </c>
      <c r="G11" s="47">
        <f t="shared" si="0"/>
        <v>0</v>
      </c>
      <c r="H11" s="45">
        <v>0</v>
      </c>
      <c r="I11" s="66">
        <f t="shared" si="3"/>
        <v>0</v>
      </c>
      <c r="J11" s="45">
        <v>0</v>
      </c>
      <c r="K11" s="49">
        <v>200</v>
      </c>
      <c r="L11" s="45">
        <v>0</v>
      </c>
      <c r="M11" s="48">
        <v>0</v>
      </c>
      <c r="N11" s="45">
        <v>0</v>
      </c>
      <c r="O11" s="48">
        <v>0</v>
      </c>
    </row>
    <row r="12" spans="1:16" ht="24" customHeight="1">
      <c r="A12" s="44">
        <v>45474</v>
      </c>
      <c r="B12" s="49">
        <f>MROUND((B11*1.03),100)</f>
        <v>0</v>
      </c>
      <c r="C12" s="46">
        <f t="shared" si="1"/>
        <v>0</v>
      </c>
      <c r="D12" s="46">
        <f t="shared" si="2"/>
        <v>0</v>
      </c>
      <c r="E12" s="46">
        <v>0</v>
      </c>
      <c r="F12" s="46">
        <v>0</v>
      </c>
      <c r="G12" s="47">
        <f t="shared" si="0"/>
        <v>0</v>
      </c>
      <c r="H12" s="45">
        <v>0</v>
      </c>
      <c r="I12" s="66">
        <f t="shared" si="3"/>
        <v>0</v>
      </c>
      <c r="J12" s="45">
        <v>0</v>
      </c>
      <c r="K12" s="49">
        <v>200</v>
      </c>
      <c r="L12" s="45">
        <v>0</v>
      </c>
      <c r="M12" s="48">
        <v>0</v>
      </c>
      <c r="N12" s="45">
        <v>0</v>
      </c>
      <c r="O12" s="48">
        <v>0</v>
      </c>
    </row>
    <row r="13" spans="1:16" ht="24" customHeight="1">
      <c r="A13" s="44">
        <v>45505</v>
      </c>
      <c r="B13" s="66">
        <f>B12</f>
        <v>0</v>
      </c>
      <c r="C13" s="46">
        <f t="shared" si="1"/>
        <v>0</v>
      </c>
      <c r="D13" s="46">
        <f t="shared" si="2"/>
        <v>0</v>
      </c>
      <c r="E13" s="46">
        <v>0</v>
      </c>
      <c r="F13" s="46">
        <v>0</v>
      </c>
      <c r="G13" s="47">
        <f t="shared" si="0"/>
        <v>0</v>
      </c>
      <c r="H13" s="45">
        <v>0</v>
      </c>
      <c r="I13" s="66">
        <f t="shared" si="3"/>
        <v>0</v>
      </c>
      <c r="J13" s="45">
        <v>0</v>
      </c>
      <c r="K13" s="49">
        <v>200</v>
      </c>
      <c r="L13" s="45">
        <v>0</v>
      </c>
      <c r="M13" s="48">
        <v>0</v>
      </c>
      <c r="N13" s="45">
        <v>0</v>
      </c>
      <c r="O13" s="48">
        <v>0</v>
      </c>
    </row>
    <row r="14" spans="1:16" ht="24" customHeight="1">
      <c r="A14" s="44">
        <v>45536</v>
      </c>
      <c r="B14" s="66">
        <f>B13</f>
        <v>0</v>
      </c>
      <c r="C14" s="46">
        <f t="shared" si="1"/>
        <v>0</v>
      </c>
      <c r="D14" s="46">
        <f t="shared" si="2"/>
        <v>0</v>
      </c>
      <c r="E14" s="46">
        <v>0</v>
      </c>
      <c r="F14" s="46">
        <v>0</v>
      </c>
      <c r="G14" s="47">
        <f t="shared" si="0"/>
        <v>0</v>
      </c>
      <c r="H14" s="45">
        <v>0</v>
      </c>
      <c r="I14" s="66">
        <f t="shared" si="3"/>
        <v>0</v>
      </c>
      <c r="J14" s="45">
        <v>0</v>
      </c>
      <c r="K14" s="49">
        <v>200</v>
      </c>
      <c r="L14" s="45">
        <v>0</v>
      </c>
      <c r="M14" s="48">
        <v>0</v>
      </c>
      <c r="N14" s="45">
        <v>0</v>
      </c>
      <c r="O14" s="48">
        <v>0</v>
      </c>
    </row>
    <row r="15" spans="1:16" ht="24" customHeight="1">
      <c r="A15" s="44">
        <v>45566</v>
      </c>
      <c r="B15" s="66">
        <f t="shared" ref="B15:B19" si="4">B14</f>
        <v>0</v>
      </c>
      <c r="C15" s="46">
        <f t="shared" si="1"/>
        <v>0</v>
      </c>
      <c r="D15" s="46">
        <f t="shared" si="2"/>
        <v>0</v>
      </c>
      <c r="E15" s="46">
        <v>0</v>
      </c>
      <c r="F15" s="46">
        <v>0</v>
      </c>
      <c r="G15" s="47">
        <f t="shared" si="0"/>
        <v>0</v>
      </c>
      <c r="H15" s="45">
        <v>0</v>
      </c>
      <c r="I15" s="66">
        <f t="shared" si="3"/>
        <v>0</v>
      </c>
      <c r="J15" s="45">
        <v>0</v>
      </c>
      <c r="K15" s="49">
        <v>200</v>
      </c>
      <c r="L15" s="45">
        <v>0</v>
      </c>
      <c r="M15" s="48">
        <v>0</v>
      </c>
      <c r="N15" s="45">
        <v>0</v>
      </c>
      <c r="O15" s="48">
        <v>0</v>
      </c>
    </row>
    <row r="16" spans="1:16" ht="24" customHeight="1">
      <c r="A16" s="44">
        <v>45597</v>
      </c>
      <c r="B16" s="66">
        <f t="shared" si="4"/>
        <v>0</v>
      </c>
      <c r="C16" s="46">
        <f t="shared" si="1"/>
        <v>0</v>
      </c>
      <c r="D16" s="46">
        <f t="shared" si="2"/>
        <v>0</v>
      </c>
      <c r="E16" s="46">
        <v>0</v>
      </c>
      <c r="F16" s="46">
        <v>0</v>
      </c>
      <c r="G16" s="47">
        <f t="shared" si="0"/>
        <v>0</v>
      </c>
      <c r="H16" s="45">
        <v>0</v>
      </c>
      <c r="I16" s="66">
        <f t="shared" si="3"/>
        <v>0</v>
      </c>
      <c r="J16" s="45">
        <v>0</v>
      </c>
      <c r="K16" s="49">
        <v>200</v>
      </c>
      <c r="L16" s="45">
        <v>0</v>
      </c>
      <c r="M16" s="48">
        <v>0</v>
      </c>
      <c r="N16" s="45">
        <v>0</v>
      </c>
      <c r="O16" s="48">
        <v>0</v>
      </c>
    </row>
    <row r="17" spans="1:15" ht="24" customHeight="1">
      <c r="A17" s="44">
        <v>45627</v>
      </c>
      <c r="B17" s="66">
        <f t="shared" si="4"/>
        <v>0</v>
      </c>
      <c r="C17" s="46">
        <f t="shared" si="1"/>
        <v>0</v>
      </c>
      <c r="D17" s="46">
        <f t="shared" si="2"/>
        <v>0</v>
      </c>
      <c r="E17" s="46">
        <v>0</v>
      </c>
      <c r="F17" s="46">
        <v>0</v>
      </c>
      <c r="G17" s="47">
        <f t="shared" si="0"/>
        <v>0</v>
      </c>
      <c r="H17" s="45">
        <v>0</v>
      </c>
      <c r="I17" s="66">
        <f t="shared" si="3"/>
        <v>0</v>
      </c>
      <c r="J17" s="45">
        <v>0</v>
      </c>
      <c r="K17" s="49">
        <v>200</v>
      </c>
      <c r="L17" s="45">
        <v>0</v>
      </c>
      <c r="M17" s="48">
        <v>0</v>
      </c>
      <c r="N17" s="45">
        <v>0</v>
      </c>
      <c r="O17" s="48">
        <v>0</v>
      </c>
    </row>
    <row r="18" spans="1:15" ht="24" customHeight="1">
      <c r="A18" s="44">
        <v>45658</v>
      </c>
      <c r="B18" s="66">
        <f t="shared" si="4"/>
        <v>0</v>
      </c>
      <c r="C18" s="46">
        <f t="shared" si="1"/>
        <v>0</v>
      </c>
      <c r="D18" s="46">
        <f t="shared" si="2"/>
        <v>0</v>
      </c>
      <c r="E18" s="46">
        <v>0</v>
      </c>
      <c r="F18" s="46">
        <v>0</v>
      </c>
      <c r="G18" s="47">
        <f t="shared" si="0"/>
        <v>0</v>
      </c>
      <c r="H18" s="45">
        <v>0</v>
      </c>
      <c r="I18" s="66">
        <f t="shared" si="3"/>
        <v>0</v>
      </c>
      <c r="J18" s="45">
        <v>0</v>
      </c>
      <c r="K18" s="49">
        <v>200</v>
      </c>
      <c r="L18" s="45">
        <v>0</v>
      </c>
      <c r="M18" s="48">
        <v>0</v>
      </c>
      <c r="N18" s="45">
        <v>0</v>
      </c>
      <c r="O18" s="48">
        <v>0</v>
      </c>
    </row>
    <row r="19" spans="1:15" ht="24" customHeight="1">
      <c r="A19" s="44">
        <v>45689</v>
      </c>
      <c r="B19" s="66">
        <f t="shared" si="4"/>
        <v>0</v>
      </c>
      <c r="C19" s="46">
        <f t="shared" si="1"/>
        <v>0</v>
      </c>
      <c r="D19" s="46">
        <f t="shared" si="2"/>
        <v>0</v>
      </c>
      <c r="E19" s="46">
        <v>0</v>
      </c>
      <c r="F19" s="46">
        <v>0</v>
      </c>
      <c r="G19" s="47">
        <f t="shared" si="0"/>
        <v>0</v>
      </c>
      <c r="H19" s="45">
        <v>0</v>
      </c>
      <c r="I19" s="66">
        <f t="shared" si="3"/>
        <v>0</v>
      </c>
      <c r="J19" s="82">
        <v>0</v>
      </c>
      <c r="K19" s="49">
        <v>300</v>
      </c>
      <c r="L19" s="45">
        <v>0</v>
      </c>
      <c r="M19" s="48">
        <v>0</v>
      </c>
      <c r="N19" s="45">
        <v>0</v>
      </c>
      <c r="O19" s="48">
        <v>0</v>
      </c>
    </row>
    <row r="20" spans="1:15" ht="24" customHeight="1">
      <c r="A20" s="65" t="s">
        <v>81</v>
      </c>
      <c r="B20" s="51">
        <v>0</v>
      </c>
      <c r="C20" s="51">
        <f>(C18-C17)*6</f>
        <v>0</v>
      </c>
      <c r="D20" s="51">
        <v>0</v>
      </c>
      <c r="E20" s="51">
        <v>0</v>
      </c>
      <c r="F20" s="51">
        <v>0</v>
      </c>
      <c r="G20" s="47">
        <f t="shared" si="0"/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</row>
    <row r="21" spans="1:15" ht="24" customHeight="1">
      <c r="A21" s="50" t="s">
        <v>26</v>
      </c>
      <c r="B21" s="51">
        <v>0</v>
      </c>
      <c r="C21" s="48">
        <v>0</v>
      </c>
      <c r="D21" s="48">
        <v>0</v>
      </c>
      <c r="E21" s="51">
        <v>0</v>
      </c>
      <c r="F21" s="51">
        <v>0</v>
      </c>
      <c r="G21" s="47">
        <f t="shared" si="0"/>
        <v>0</v>
      </c>
      <c r="H21" s="49">
        <v>0</v>
      </c>
      <c r="I21" s="49">
        <v>0</v>
      </c>
      <c r="J21" s="48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</row>
    <row r="22" spans="1:15" ht="24" customHeight="1">
      <c r="A22" s="65" t="s">
        <v>82</v>
      </c>
      <c r="B22" s="48">
        <v>0</v>
      </c>
      <c r="C22" s="48">
        <v>0</v>
      </c>
      <c r="D22" s="51">
        <v>0</v>
      </c>
      <c r="E22" s="51">
        <v>0</v>
      </c>
      <c r="F22" s="51">
        <v>0</v>
      </c>
      <c r="G22" s="47">
        <f t="shared" si="0"/>
        <v>0</v>
      </c>
      <c r="H22" s="66">
        <f>B22</f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</row>
    <row r="23" spans="1:15" ht="34.5" customHeight="1">
      <c r="A23" s="69" t="s">
        <v>84</v>
      </c>
      <c r="B23" s="48">
        <v>0</v>
      </c>
      <c r="C23" s="48">
        <v>0</v>
      </c>
      <c r="D23" s="48">
        <v>0</v>
      </c>
      <c r="E23" s="48">
        <v>0</v>
      </c>
      <c r="F23" s="49">
        <v>0</v>
      </c>
      <c r="G23" s="47">
        <f t="shared" si="0"/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</row>
    <row r="24" spans="1:15" ht="24" customHeight="1">
      <c r="A24" s="41" t="s">
        <v>27</v>
      </c>
      <c r="B24" s="52">
        <f t="shared" ref="B24:O24" si="5">SUM(B8:B23)</f>
        <v>0</v>
      </c>
      <c r="C24" s="52">
        <f t="shared" si="5"/>
        <v>0</v>
      </c>
      <c r="D24" s="52">
        <f>SUM(D8:D23)</f>
        <v>0</v>
      </c>
      <c r="E24" s="52">
        <f>SUM(E8:E23)</f>
        <v>0</v>
      </c>
      <c r="F24" s="52">
        <f>SUM(F8:F23)</f>
        <v>0</v>
      </c>
      <c r="G24" s="53">
        <f>SUM(G8:G23)</f>
        <v>0</v>
      </c>
      <c r="H24" s="52">
        <f t="shared" si="5"/>
        <v>0</v>
      </c>
      <c r="I24" s="52">
        <f t="shared" si="5"/>
        <v>0</v>
      </c>
      <c r="J24" s="52">
        <f t="shared" si="5"/>
        <v>0</v>
      </c>
      <c r="K24" s="52">
        <f t="shared" si="5"/>
        <v>2500</v>
      </c>
      <c r="L24" s="52">
        <f t="shared" si="5"/>
        <v>0</v>
      </c>
      <c r="M24" s="52">
        <f t="shared" si="5"/>
        <v>0</v>
      </c>
      <c r="N24" s="52">
        <f t="shared" si="5"/>
        <v>0</v>
      </c>
      <c r="O24" s="52">
        <f t="shared" si="5"/>
        <v>0</v>
      </c>
    </row>
    <row r="26" spans="1:15" ht="18" customHeight="1">
      <c r="A26" s="38"/>
      <c r="B26" s="54"/>
      <c r="C26" s="125" t="s">
        <v>28</v>
      </c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54"/>
    </row>
    <row r="27" spans="1:15" ht="15.7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spans="1:15" ht="34.5" customHeight="1">
      <c r="A28" s="57" t="s">
        <v>29</v>
      </c>
      <c r="B28" s="58">
        <v>0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</row>
    <row r="29" spans="1:15" ht="15.75" customHeight="1">
      <c r="A29" s="54"/>
      <c r="B29" s="56"/>
      <c r="C29" s="56"/>
      <c r="D29" s="56"/>
      <c r="E29" s="56"/>
      <c r="F29" s="56"/>
      <c r="G29" s="56"/>
      <c r="H29" s="56"/>
      <c r="I29" s="126" t="s">
        <v>30</v>
      </c>
      <c r="J29" s="126"/>
      <c r="K29" s="54"/>
      <c r="M29" s="56"/>
      <c r="N29" s="56"/>
      <c r="O29" s="56"/>
    </row>
    <row r="30" spans="1:15" ht="18.75" customHeight="1">
      <c r="A30" s="59" t="s">
        <v>31</v>
      </c>
      <c r="B30" s="127">
        <v>0</v>
      </c>
      <c r="C30" s="128"/>
      <c r="D30" s="56"/>
      <c r="E30" s="56"/>
      <c r="F30" s="56"/>
      <c r="G30" s="56"/>
      <c r="H30" s="56"/>
      <c r="I30" s="56"/>
      <c r="J30" s="56" t="s">
        <v>32</v>
      </c>
      <c r="K30" s="61">
        <f>B3</f>
        <v>0</v>
      </c>
      <c r="M30" s="54"/>
      <c r="N30" s="54"/>
      <c r="O30" s="54"/>
    </row>
    <row r="31" spans="1:15" ht="21" customHeight="1">
      <c r="B31" s="127"/>
      <c r="C31" s="128"/>
      <c r="D31" s="56"/>
      <c r="E31" s="56"/>
      <c r="F31" s="56"/>
      <c r="G31" s="56"/>
      <c r="H31" s="56"/>
      <c r="I31" s="56"/>
      <c r="L31" s="56"/>
      <c r="M31" s="56"/>
      <c r="N31" s="56"/>
      <c r="O31" s="56"/>
    </row>
    <row r="32" spans="1:15" ht="21" customHeight="1">
      <c r="A32" s="56"/>
      <c r="B32" s="127"/>
      <c r="C32" s="128"/>
      <c r="D32" s="56"/>
      <c r="E32" s="56"/>
      <c r="F32" s="56"/>
      <c r="G32" s="56"/>
      <c r="H32" s="60" t="s">
        <v>33</v>
      </c>
      <c r="I32" s="56"/>
      <c r="J32" s="56"/>
      <c r="K32" s="56"/>
      <c r="L32" s="56"/>
      <c r="M32" s="56"/>
      <c r="N32" s="56"/>
      <c r="O32" s="56"/>
    </row>
    <row r="33" spans="1:15" ht="21" customHeight="1">
      <c r="A33" s="56"/>
      <c r="B33" s="121"/>
      <c r="C33" s="121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</row>
    <row r="34" spans="1:15" ht="21" customHeight="1">
      <c r="A34" s="56"/>
      <c r="B34" s="60"/>
      <c r="C34" s="60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</row>
    <row r="35" spans="1:15" ht="15.75">
      <c r="D35" s="56"/>
      <c r="E35" s="56"/>
      <c r="F35" s="56"/>
      <c r="G35" s="56"/>
      <c r="H35" s="56"/>
      <c r="I35" s="56"/>
      <c r="J35" s="77" t="s">
        <v>92</v>
      </c>
      <c r="K35" s="56"/>
      <c r="L35" s="56"/>
      <c r="M35" s="56"/>
      <c r="N35" s="56"/>
      <c r="O35" s="56"/>
    </row>
    <row r="36" spans="1:15" ht="15.75">
      <c r="A36" s="56"/>
      <c r="B36" s="56"/>
      <c r="C36" s="56"/>
      <c r="D36" s="56"/>
      <c r="E36" s="56"/>
      <c r="F36" s="56"/>
      <c r="G36" s="56"/>
      <c r="H36" s="56"/>
      <c r="I36" s="56"/>
      <c r="J36" s="77" t="s">
        <v>34</v>
      </c>
      <c r="K36" s="56"/>
      <c r="L36" s="55"/>
      <c r="M36" s="55"/>
      <c r="N36" s="55"/>
      <c r="O36" s="55"/>
    </row>
    <row r="37" spans="1:15" ht="15.75">
      <c r="A37" s="76"/>
      <c r="B37" s="56"/>
      <c r="C37" s="56"/>
      <c r="D37" s="56"/>
      <c r="E37" s="56"/>
      <c r="F37" s="56"/>
      <c r="G37" s="56"/>
      <c r="H37" s="56"/>
      <c r="I37" s="56"/>
      <c r="J37" s="77" t="str">
        <f>L3</f>
        <v>GOVERNMENT COLLEGE OF ENGINEERING, JALGAON</v>
      </c>
      <c r="K37" s="63"/>
      <c r="L37" s="62"/>
      <c r="M37" s="62"/>
      <c r="N37" s="62"/>
      <c r="O37" s="17"/>
    </row>
    <row r="43" spans="1:15" ht="23.25" customHeight="1">
      <c r="A43" s="38"/>
    </row>
  </sheetData>
  <mergeCells count="21">
    <mergeCell ref="B33:C33"/>
    <mergeCell ref="A6:A7"/>
    <mergeCell ref="P1:P6"/>
    <mergeCell ref="C26:N26"/>
    <mergeCell ref="I29:J29"/>
    <mergeCell ref="B30:C30"/>
    <mergeCell ref="B31:C31"/>
    <mergeCell ref="B32:C32"/>
    <mergeCell ref="B5:C5"/>
    <mergeCell ref="E5:F5"/>
    <mergeCell ref="H5:J5"/>
    <mergeCell ref="L5:O5"/>
    <mergeCell ref="B6:G6"/>
    <mergeCell ref="H6:O6"/>
    <mergeCell ref="A1:O1"/>
    <mergeCell ref="B3:F3"/>
    <mergeCell ref="H3:J3"/>
    <mergeCell ref="L3:O3"/>
    <mergeCell ref="B4:F4"/>
    <mergeCell ref="H4:J4"/>
    <mergeCell ref="L4:O4"/>
  </mergeCells>
  <pageMargins left="0.6" right="0.21" top="0.49" bottom="0.66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K65"/>
  <sheetViews>
    <sheetView view="pageBreakPreview" topLeftCell="A55" zoomScaleNormal="100" zoomScaleSheetLayoutView="100" workbookViewId="0">
      <selection activeCell="C60" sqref="C60"/>
    </sheetView>
  </sheetViews>
  <sheetFormatPr defaultColWidth="9.140625" defaultRowHeight="21.95" customHeight="1"/>
  <cols>
    <col min="1" max="1" width="15.42578125" style="15" customWidth="1"/>
    <col min="2" max="2" width="53.140625" style="15" customWidth="1"/>
    <col min="3" max="3" width="16.28515625" style="16" customWidth="1"/>
    <col min="4" max="4" width="17.5703125" style="16" customWidth="1"/>
    <col min="5" max="5" width="20.42578125" style="16" customWidth="1"/>
    <col min="6" max="6" width="18.140625" style="16" customWidth="1"/>
    <col min="7" max="7" width="4.28515625" style="15" customWidth="1"/>
    <col min="8" max="8" width="30.42578125" style="15" customWidth="1"/>
    <col min="9" max="9" width="14.140625" style="16" customWidth="1"/>
    <col min="10" max="10" width="11.85546875" style="15" customWidth="1"/>
    <col min="11" max="16384" width="9.140625" style="15"/>
  </cols>
  <sheetData>
    <row r="1" spans="1:11" ht="23.25">
      <c r="A1" s="139" t="str">
        <f>STATEMENT!L3</f>
        <v>GOVERNMENT COLLEGE OF ENGINEERING, JALGAON</v>
      </c>
      <c r="B1" s="140"/>
      <c r="C1" s="140"/>
      <c r="D1" s="140"/>
      <c r="E1" s="141"/>
      <c r="F1" s="161" t="s">
        <v>0</v>
      </c>
      <c r="H1" s="153" t="s">
        <v>61</v>
      </c>
      <c r="I1" s="154"/>
      <c r="J1" s="154"/>
      <c r="K1" s="155"/>
    </row>
    <row r="2" spans="1:11" ht="21.95" customHeight="1">
      <c r="A2" s="142" t="s">
        <v>88</v>
      </c>
      <c r="B2" s="143"/>
      <c r="C2" s="143"/>
      <c r="D2" s="143"/>
      <c r="E2" s="144"/>
      <c r="F2" s="161"/>
      <c r="H2" s="86" t="s">
        <v>63</v>
      </c>
      <c r="I2" s="87"/>
      <c r="J2" s="88"/>
      <c r="K2" s="89">
        <f>STATEMENT!D24</f>
        <v>0</v>
      </c>
    </row>
    <row r="3" spans="1:11" ht="30.75" customHeight="1">
      <c r="A3" s="145" t="s">
        <v>95</v>
      </c>
      <c r="B3" s="146"/>
      <c r="C3" s="146"/>
      <c r="D3" s="146"/>
      <c r="E3" s="147"/>
      <c r="F3" s="161"/>
      <c r="H3" s="87" t="s">
        <v>65</v>
      </c>
      <c r="I3" s="90">
        <f>F11</f>
        <v>8300</v>
      </c>
      <c r="J3" s="88">
        <v>12</v>
      </c>
      <c r="K3" s="87">
        <f>J3*I3</f>
        <v>99600</v>
      </c>
    </row>
    <row r="4" spans="1:11" ht="27" customHeight="1">
      <c r="A4" s="142" t="s">
        <v>96</v>
      </c>
      <c r="B4" s="143"/>
      <c r="C4" s="143"/>
      <c r="D4" s="143"/>
      <c r="E4" s="144"/>
      <c r="F4" s="161"/>
      <c r="H4" s="87" t="s">
        <v>67</v>
      </c>
      <c r="I4" s="87">
        <f>STATEMENT!B24</f>
        <v>0</v>
      </c>
      <c r="J4" s="88"/>
      <c r="K4" s="88"/>
    </row>
    <row r="5" spans="1:11" ht="21.95" customHeight="1">
      <c r="A5" s="18" t="s">
        <v>35</v>
      </c>
      <c r="B5" s="148">
        <f>STATEMENT!B3</f>
        <v>0</v>
      </c>
      <c r="C5" s="149"/>
      <c r="D5" s="149"/>
      <c r="E5" s="150"/>
      <c r="F5" s="161"/>
      <c r="H5" s="87" t="s">
        <v>69</v>
      </c>
      <c r="I5" s="87">
        <f>STATEMENT!C24</f>
        <v>0</v>
      </c>
      <c r="J5" s="88"/>
      <c r="K5" s="88"/>
    </row>
    <row r="6" spans="1:11" ht="21.95" customHeight="1">
      <c r="A6" s="18" t="s">
        <v>36</v>
      </c>
      <c r="B6" s="148">
        <f>STATEMENT!B4</f>
        <v>0</v>
      </c>
      <c r="C6" s="149"/>
      <c r="D6" s="149"/>
      <c r="E6" s="150"/>
      <c r="F6" s="161"/>
      <c r="H6" s="87" t="s">
        <v>71</v>
      </c>
      <c r="I6" s="87">
        <f>(SUM(I4:I5))*0.1</f>
        <v>0</v>
      </c>
      <c r="J6" s="87"/>
      <c r="K6" s="89">
        <f>K3-I6</f>
        <v>99600</v>
      </c>
    </row>
    <row r="7" spans="1:11" ht="21.95" customHeight="1">
      <c r="A7" s="18" t="s">
        <v>37</v>
      </c>
      <c r="B7" s="19">
        <f>STATEMENT!B5</f>
        <v>0</v>
      </c>
      <c r="C7" s="162" t="s">
        <v>6</v>
      </c>
      <c r="D7" s="163"/>
      <c r="E7" s="91" t="s">
        <v>89</v>
      </c>
      <c r="F7" s="20"/>
      <c r="H7" s="88"/>
      <c r="I7" s="92" t="s">
        <v>73</v>
      </c>
      <c r="J7" s="92" t="s">
        <v>74</v>
      </c>
      <c r="K7" s="92" t="s">
        <v>27</v>
      </c>
    </row>
    <row r="8" spans="1:11" ht="17.25">
      <c r="A8" s="18" t="s">
        <v>38</v>
      </c>
      <c r="B8" s="64">
        <f>STATEMENT!H4</f>
        <v>0</v>
      </c>
      <c r="C8" s="164">
        <f>STATEMENT!L4</f>
        <v>0</v>
      </c>
      <c r="D8" s="165"/>
      <c r="E8" s="93">
        <f>STATEMENT!H5</f>
        <v>0</v>
      </c>
      <c r="F8" s="20"/>
      <c r="H8" s="23"/>
      <c r="I8" s="34"/>
      <c r="J8" s="23"/>
      <c r="K8" s="23"/>
    </row>
    <row r="9" spans="1:11" ht="39.75" customHeight="1">
      <c r="A9" s="21" t="s">
        <v>39</v>
      </c>
      <c r="B9" s="2" t="s">
        <v>40</v>
      </c>
      <c r="C9" s="3" t="s">
        <v>41</v>
      </c>
      <c r="D9" s="22" t="s">
        <v>87</v>
      </c>
      <c r="E9" s="22" t="s">
        <v>90</v>
      </c>
      <c r="F9" s="166" t="s">
        <v>42</v>
      </c>
      <c r="H9" s="87" t="s">
        <v>77</v>
      </c>
      <c r="I9" s="87">
        <f>I4+I5</f>
        <v>0</v>
      </c>
      <c r="J9" s="87"/>
      <c r="K9" s="89">
        <f>I9*40%</f>
        <v>0</v>
      </c>
    </row>
    <row r="10" spans="1:11" ht="25.5" customHeight="1">
      <c r="A10" s="151">
        <v>1</v>
      </c>
      <c r="B10" s="4" t="s">
        <v>83</v>
      </c>
      <c r="C10" s="5">
        <v>0</v>
      </c>
      <c r="D10" s="6">
        <f>C10</f>
        <v>0</v>
      </c>
      <c r="E10" s="6">
        <f>C10</f>
        <v>0</v>
      </c>
      <c r="F10" s="166"/>
      <c r="H10" s="88"/>
      <c r="I10" s="87"/>
      <c r="J10" s="87"/>
      <c r="K10" s="87"/>
    </row>
    <row r="11" spans="1:11" ht="25.5" customHeight="1">
      <c r="A11" s="151"/>
      <c r="B11" s="4" t="s">
        <v>43</v>
      </c>
      <c r="C11" s="5">
        <f>MAX((MIN(K2,K6,K9)),0)</f>
        <v>0</v>
      </c>
      <c r="D11" s="6">
        <f>MAX(C11,0)</f>
        <v>0</v>
      </c>
      <c r="E11" s="73">
        <v>0</v>
      </c>
      <c r="F11" s="94">
        <v>8300</v>
      </c>
    </row>
    <row r="12" spans="1:11" ht="25.5" customHeight="1">
      <c r="A12" s="151"/>
      <c r="B12" s="4" t="s">
        <v>44</v>
      </c>
      <c r="C12" s="5">
        <f>STATEMENT!K24</f>
        <v>2500</v>
      </c>
      <c r="D12" s="6">
        <f>C12</f>
        <v>2500</v>
      </c>
      <c r="E12" s="6">
        <v>0</v>
      </c>
      <c r="F12" s="10"/>
    </row>
    <row r="13" spans="1:11" ht="25.5" customHeight="1">
      <c r="A13" s="23"/>
      <c r="B13" s="8" t="s">
        <v>45</v>
      </c>
      <c r="C13" s="7"/>
      <c r="D13" s="9">
        <f>D10-D11-D12</f>
        <v>-2500</v>
      </c>
      <c r="E13" s="9">
        <f>E10-E11-E12</f>
        <v>0</v>
      </c>
      <c r="F13" s="24"/>
    </row>
    <row r="14" spans="1:11" ht="25.5" customHeight="1">
      <c r="A14" s="21">
        <v>2</v>
      </c>
      <c r="B14" s="4" t="s">
        <v>46</v>
      </c>
      <c r="C14" s="5">
        <v>50000</v>
      </c>
      <c r="D14" s="6">
        <f>C14</f>
        <v>50000</v>
      </c>
      <c r="E14" s="6">
        <v>75000</v>
      </c>
      <c r="F14" s="10"/>
      <c r="H14" s="95"/>
      <c r="I14" s="96"/>
    </row>
    <row r="15" spans="1:11" ht="25.5" customHeight="1">
      <c r="A15" s="23"/>
      <c r="B15" s="8" t="s">
        <v>45</v>
      </c>
      <c r="C15" s="7"/>
      <c r="D15" s="25">
        <f>D13-D14</f>
        <v>-52500</v>
      </c>
      <c r="E15" s="25">
        <f>E13-E14</f>
        <v>-75000</v>
      </c>
      <c r="F15" s="26"/>
      <c r="H15" s="95"/>
      <c r="I15" s="96"/>
    </row>
    <row r="16" spans="1:11" ht="25.5" customHeight="1">
      <c r="A16" s="151">
        <v>3</v>
      </c>
      <c r="B16" s="4" t="s">
        <v>47</v>
      </c>
      <c r="C16" s="7">
        <v>0</v>
      </c>
      <c r="D16" s="6">
        <f>C16</f>
        <v>0</v>
      </c>
      <c r="E16" s="6">
        <f>D16</f>
        <v>0</v>
      </c>
      <c r="F16" s="10"/>
      <c r="H16" s="95"/>
      <c r="I16" s="97"/>
    </row>
    <row r="17" spans="1:9" ht="25.5" customHeight="1">
      <c r="A17" s="151"/>
      <c r="B17" s="4" t="s">
        <v>48</v>
      </c>
      <c r="C17" s="7">
        <v>0</v>
      </c>
      <c r="D17" s="6">
        <f t="shared" ref="D17:E17" si="0">C17</f>
        <v>0</v>
      </c>
      <c r="E17" s="6">
        <f t="shared" si="0"/>
        <v>0</v>
      </c>
      <c r="F17" s="10"/>
    </row>
    <row r="18" spans="1:9" ht="25.5" customHeight="1">
      <c r="A18" s="151"/>
      <c r="B18" s="4" t="s">
        <v>49</v>
      </c>
      <c r="C18" s="7">
        <v>0</v>
      </c>
      <c r="D18" s="6">
        <f>IF((C18&lt;200000),(C18),200000)</f>
        <v>0</v>
      </c>
      <c r="E18" s="6">
        <v>0</v>
      </c>
      <c r="F18" s="10"/>
      <c r="H18" s="160"/>
      <c r="I18" s="160"/>
    </row>
    <row r="19" spans="1:9" ht="25.5" customHeight="1">
      <c r="A19" s="23"/>
      <c r="B19" s="8" t="s">
        <v>45</v>
      </c>
      <c r="C19" s="7"/>
      <c r="D19" s="27">
        <f>D15+D16+D17-D18</f>
        <v>-52500</v>
      </c>
      <c r="E19" s="27">
        <f>E15+E16+E17-E18</f>
        <v>-75000</v>
      </c>
      <c r="F19" s="28"/>
      <c r="H19" s="159"/>
      <c r="I19" s="159"/>
    </row>
    <row r="20" spans="1:9" ht="25.5" customHeight="1">
      <c r="A20" s="151">
        <v>4</v>
      </c>
      <c r="B20" s="4" t="s">
        <v>102</v>
      </c>
      <c r="C20" s="7">
        <v>0</v>
      </c>
      <c r="D20" s="6">
        <f>C20</f>
        <v>0</v>
      </c>
      <c r="E20" s="6">
        <v>0</v>
      </c>
      <c r="F20" s="10"/>
      <c r="H20" s="98"/>
      <c r="I20" s="99"/>
    </row>
    <row r="21" spans="1:9" ht="25.5" customHeight="1">
      <c r="A21" s="151"/>
      <c r="B21" s="4" t="s">
        <v>103</v>
      </c>
      <c r="C21" s="5">
        <v>0</v>
      </c>
      <c r="D21" s="29">
        <f>IF(C21&gt;=(D10*10%),MIN(D10*10%),0)+IF(C21&lt;=(D10*10%),MIN(C21),0)</f>
        <v>0</v>
      </c>
      <c r="E21" s="6">
        <v>0</v>
      </c>
      <c r="F21" s="12"/>
      <c r="H21" s="98"/>
      <c r="I21" s="100"/>
    </row>
    <row r="22" spans="1:9" ht="25.5" customHeight="1">
      <c r="A22" s="151"/>
      <c r="B22" s="4" t="s">
        <v>50</v>
      </c>
      <c r="C22" s="30">
        <v>0</v>
      </c>
      <c r="D22" s="6">
        <f>IF((C22&lt;25000),(C22),25000)</f>
        <v>0</v>
      </c>
      <c r="E22" s="6">
        <v>0</v>
      </c>
      <c r="F22" s="10"/>
      <c r="H22" s="98"/>
      <c r="I22" s="99"/>
    </row>
    <row r="23" spans="1:9" ht="25.5" customHeight="1">
      <c r="A23" s="151"/>
      <c r="B23" s="4" t="s">
        <v>51</v>
      </c>
      <c r="C23" s="7">
        <v>0</v>
      </c>
      <c r="D23" s="6">
        <f t="shared" ref="D23:D26" si="1">C23</f>
        <v>0</v>
      </c>
      <c r="E23" s="6">
        <v>0</v>
      </c>
      <c r="F23" s="10"/>
      <c r="H23" s="98"/>
      <c r="I23" s="99"/>
    </row>
    <row r="24" spans="1:9" ht="25.5" customHeight="1">
      <c r="A24" s="151"/>
      <c r="B24" s="4" t="s">
        <v>104</v>
      </c>
      <c r="C24" s="7">
        <v>0</v>
      </c>
      <c r="D24" s="6">
        <f t="shared" si="1"/>
        <v>0</v>
      </c>
      <c r="E24" s="6">
        <v>0</v>
      </c>
      <c r="F24" s="10"/>
      <c r="H24" s="98"/>
      <c r="I24" s="101"/>
    </row>
    <row r="25" spans="1:9" ht="25.5" customHeight="1">
      <c r="A25" s="151"/>
      <c r="B25" s="4" t="s">
        <v>105</v>
      </c>
      <c r="C25" s="7">
        <v>0</v>
      </c>
      <c r="D25" s="6">
        <f>IF((C25&lt;10000),(C25),10000)</f>
        <v>0</v>
      </c>
      <c r="E25" s="6">
        <v>0</v>
      </c>
      <c r="F25" s="10"/>
      <c r="H25" s="98"/>
      <c r="I25" s="101"/>
    </row>
    <row r="26" spans="1:9" ht="25.5" customHeight="1">
      <c r="A26" s="151"/>
      <c r="B26" s="4" t="s">
        <v>52</v>
      </c>
      <c r="C26" s="7">
        <v>0</v>
      </c>
      <c r="D26" s="6">
        <f t="shared" si="1"/>
        <v>0</v>
      </c>
      <c r="E26" s="6">
        <v>0</v>
      </c>
      <c r="F26" s="10"/>
      <c r="H26" s="98"/>
      <c r="I26" s="101"/>
    </row>
    <row r="27" spans="1:9" ht="25.5" customHeight="1">
      <c r="A27" s="151"/>
      <c r="B27" s="4" t="s">
        <v>86</v>
      </c>
      <c r="C27" s="7">
        <v>0</v>
      </c>
      <c r="D27" s="6">
        <f>IF((C27&lt;150000),(C27),150000)</f>
        <v>0</v>
      </c>
      <c r="E27" s="6">
        <v>0</v>
      </c>
      <c r="F27" s="10"/>
      <c r="H27" s="98"/>
      <c r="I27" s="101"/>
    </row>
    <row r="28" spans="1:9" ht="25.5" customHeight="1">
      <c r="A28" s="151"/>
      <c r="B28" s="8" t="s">
        <v>53</v>
      </c>
      <c r="C28" s="7"/>
      <c r="D28" s="31">
        <f>SUM(D20:D27)</f>
        <v>0</v>
      </c>
      <c r="E28" s="6">
        <v>0</v>
      </c>
      <c r="F28" s="32"/>
      <c r="H28" s="98"/>
      <c r="I28" s="101"/>
    </row>
    <row r="29" spans="1:9" ht="25.5" customHeight="1">
      <c r="A29" s="151">
        <v>5</v>
      </c>
      <c r="B29" s="33" t="s">
        <v>54</v>
      </c>
      <c r="C29" s="7"/>
      <c r="D29" s="6"/>
      <c r="E29" s="6">
        <v>0</v>
      </c>
      <c r="F29" s="10"/>
      <c r="H29" s="98"/>
      <c r="I29" s="101"/>
    </row>
    <row r="30" spans="1:9" ht="25.5" customHeight="1">
      <c r="A30" s="151"/>
      <c r="B30" s="4" t="s">
        <v>108</v>
      </c>
      <c r="C30" s="5">
        <f>STATEMENT!H24</f>
        <v>0</v>
      </c>
      <c r="D30" s="6">
        <f>C30</f>
        <v>0</v>
      </c>
      <c r="E30" s="6">
        <v>0</v>
      </c>
      <c r="F30" s="10"/>
      <c r="H30" s="98"/>
      <c r="I30" s="101"/>
    </row>
    <row r="31" spans="1:9" ht="25.5" customHeight="1">
      <c r="A31" s="151"/>
      <c r="B31" s="4" t="s">
        <v>55</v>
      </c>
      <c r="C31" s="5">
        <f>STATEMENT!N24</f>
        <v>0</v>
      </c>
      <c r="D31" s="6">
        <f t="shared" ref="D31:D39" si="2">C31</f>
        <v>0</v>
      </c>
      <c r="E31" s="6">
        <v>0</v>
      </c>
      <c r="F31" s="10"/>
      <c r="H31" s="98"/>
      <c r="I31" s="101"/>
    </row>
    <row r="32" spans="1:9" ht="25.5" customHeight="1">
      <c r="A32" s="151"/>
      <c r="B32" s="4" t="s">
        <v>56</v>
      </c>
      <c r="C32" s="7">
        <v>0</v>
      </c>
      <c r="D32" s="6">
        <f t="shared" si="2"/>
        <v>0</v>
      </c>
      <c r="E32" s="6">
        <v>0</v>
      </c>
      <c r="F32" s="10"/>
      <c r="H32" s="102"/>
      <c r="I32" s="103"/>
    </row>
    <row r="33" spans="1:9" ht="25.5" customHeight="1">
      <c r="A33" s="151"/>
      <c r="B33" s="4" t="s">
        <v>57</v>
      </c>
      <c r="C33" s="7">
        <v>150000</v>
      </c>
      <c r="D33" s="6">
        <f t="shared" si="2"/>
        <v>150000</v>
      </c>
      <c r="E33" s="6">
        <v>0</v>
      </c>
      <c r="F33" s="10"/>
      <c r="I33" s="15"/>
    </row>
    <row r="34" spans="1:9" ht="25.5" customHeight="1">
      <c r="A34" s="151"/>
      <c r="B34" s="4" t="s">
        <v>58</v>
      </c>
      <c r="C34" s="7">
        <v>0</v>
      </c>
      <c r="D34" s="6">
        <f t="shared" si="2"/>
        <v>0</v>
      </c>
      <c r="E34" s="6">
        <v>0</v>
      </c>
      <c r="F34" s="10"/>
      <c r="H34" s="98"/>
      <c r="I34" s="103"/>
    </row>
    <row r="35" spans="1:9" ht="25.5" customHeight="1">
      <c r="A35" s="151"/>
      <c r="B35" s="4" t="s">
        <v>59</v>
      </c>
      <c r="C35" s="7">
        <v>0</v>
      </c>
      <c r="D35" s="6">
        <f t="shared" si="2"/>
        <v>0</v>
      </c>
      <c r="E35" s="6">
        <v>0</v>
      </c>
      <c r="F35" s="10"/>
      <c r="I35" s="15"/>
    </row>
    <row r="36" spans="1:9" ht="25.5" customHeight="1">
      <c r="A36" s="151"/>
      <c r="B36" s="4" t="s">
        <v>60</v>
      </c>
      <c r="C36" s="5">
        <f>STATEMENT!I24</f>
        <v>0</v>
      </c>
      <c r="D36" s="6">
        <f t="shared" si="2"/>
        <v>0</v>
      </c>
      <c r="E36" s="6">
        <v>0</v>
      </c>
      <c r="F36" s="10"/>
    </row>
    <row r="37" spans="1:9" ht="25.5" customHeight="1">
      <c r="A37" s="151"/>
      <c r="B37" s="4" t="s">
        <v>62</v>
      </c>
      <c r="C37" s="7">
        <v>0</v>
      </c>
      <c r="D37" s="6">
        <f t="shared" si="2"/>
        <v>0</v>
      </c>
      <c r="E37" s="6">
        <v>0</v>
      </c>
      <c r="F37" s="10"/>
    </row>
    <row r="38" spans="1:9" ht="25.5" customHeight="1">
      <c r="A38" s="151"/>
      <c r="B38" s="4" t="s">
        <v>64</v>
      </c>
      <c r="C38" s="7">
        <v>0</v>
      </c>
      <c r="D38" s="6">
        <f t="shared" si="2"/>
        <v>0</v>
      </c>
      <c r="E38" s="6">
        <v>0</v>
      </c>
      <c r="F38" s="10"/>
    </row>
    <row r="39" spans="1:9" ht="25.5" customHeight="1">
      <c r="A39" s="151"/>
      <c r="B39" s="4" t="s">
        <v>66</v>
      </c>
      <c r="C39" s="7">
        <v>0</v>
      </c>
      <c r="D39" s="6">
        <f t="shared" si="2"/>
        <v>0</v>
      </c>
      <c r="E39" s="6">
        <v>0</v>
      </c>
      <c r="F39" s="10"/>
    </row>
    <row r="40" spans="1:9" ht="25.5" customHeight="1">
      <c r="A40" s="151"/>
      <c r="B40" s="13" t="s">
        <v>68</v>
      </c>
      <c r="C40" s="7">
        <f>SUM(C30:C39)</f>
        <v>150000</v>
      </c>
      <c r="D40" s="9">
        <f>MIN(C40,150000)</f>
        <v>150000</v>
      </c>
      <c r="E40" s="6">
        <v>0</v>
      </c>
      <c r="F40" s="24"/>
    </row>
    <row r="41" spans="1:9" ht="38.25" customHeight="1">
      <c r="A41" s="151">
        <v>5</v>
      </c>
      <c r="B41" s="4" t="s">
        <v>70</v>
      </c>
      <c r="C41" s="7"/>
      <c r="D41" s="6">
        <f>D19-D28-D40</f>
        <v>-202500</v>
      </c>
      <c r="E41" s="6">
        <f>E19-E28-E40</f>
        <v>-75000</v>
      </c>
      <c r="F41" s="10"/>
    </row>
    <row r="42" spans="1:9" ht="38.25" customHeight="1">
      <c r="A42" s="151"/>
      <c r="B42" s="4" t="s">
        <v>72</v>
      </c>
      <c r="C42" s="7"/>
      <c r="D42" s="6">
        <f>ROUND(D41,-1)</f>
        <v>-202500</v>
      </c>
      <c r="E42" s="6">
        <f>ROUND(E41,-1)</f>
        <v>-75000</v>
      </c>
      <c r="F42" s="10"/>
    </row>
    <row r="43" spans="1:9" ht="38.25" customHeight="1">
      <c r="A43" s="151"/>
      <c r="B43" s="4" t="s">
        <v>75</v>
      </c>
      <c r="C43" s="7"/>
      <c r="D43" s="6">
        <f>ROUND(IF(D42&lt;=250000,0,IF(D42&lt;=500000,(D42-250000)*0.05,IF(D42&lt;=1000000,(D42-500000)*0.2+12500,(D42-1000000)*0.3+112500))),0)</f>
        <v>0</v>
      </c>
      <c r="E43" s="6">
        <f>ROUND(IF(E42&lt;=300000,0,IF(E42&lt;=700000,(E42-300000)*0.05,IF(E42&lt;=1000000,(E42-700000)*0.1+20000,IF(E42&lt;=1200000,(E42-1000000)*0.15+50000,IF(E42&lt;=1500000,(E42-1200000)*0.2+80000,IF(E42&lt;=5000000,(E42-1500000)*0.3+140000,(E42-1500000)*0.3+140000)))))),0)</f>
        <v>0</v>
      </c>
      <c r="F43" s="10"/>
    </row>
    <row r="44" spans="1:9" ht="38.25" customHeight="1">
      <c r="A44" s="151"/>
      <c r="B44" s="4" t="s">
        <v>76</v>
      </c>
      <c r="C44" s="7"/>
      <c r="D44" s="6">
        <f>IF(D42&lt;=500000,MIN(D43,12500),0)</f>
        <v>0</v>
      </c>
      <c r="E44" s="6">
        <f>IF(E42&lt;=500000,MIN(E43,12500),0)</f>
        <v>0</v>
      </c>
      <c r="F44" s="10"/>
    </row>
    <row r="45" spans="1:9" ht="38.25" customHeight="1">
      <c r="A45" s="151"/>
      <c r="B45" s="4" t="s">
        <v>78</v>
      </c>
      <c r="C45" s="7"/>
      <c r="D45" s="6">
        <f>D43-D44</f>
        <v>0</v>
      </c>
      <c r="E45" s="6">
        <f>E43-E44</f>
        <v>0</v>
      </c>
      <c r="F45" s="10"/>
    </row>
    <row r="46" spans="1:9" ht="38.25" customHeight="1">
      <c r="A46" s="151"/>
      <c r="B46" s="4" t="s">
        <v>79</v>
      </c>
      <c r="C46" s="7"/>
      <c r="D46" s="6">
        <f>ROUND(D45*0.04,0)</f>
        <v>0</v>
      </c>
      <c r="E46" s="6">
        <f>ROUND(E45*0.04,0)</f>
        <v>0</v>
      </c>
      <c r="F46" s="10"/>
    </row>
    <row r="47" spans="1:9" ht="38.25" customHeight="1">
      <c r="A47" s="151"/>
      <c r="B47" s="4" t="s">
        <v>20</v>
      </c>
      <c r="C47" s="7"/>
      <c r="D47" s="11">
        <f>D45+D46</f>
        <v>0</v>
      </c>
      <c r="E47" s="11">
        <f>E45+E46</f>
        <v>0</v>
      </c>
      <c r="F47" s="35"/>
    </row>
    <row r="48" spans="1:9" ht="38.25" customHeight="1">
      <c r="A48" s="151"/>
      <c r="B48" s="4" t="s">
        <v>80</v>
      </c>
      <c r="C48" s="7">
        <v>0</v>
      </c>
      <c r="D48" s="6">
        <f>C48</f>
        <v>0</v>
      </c>
      <c r="E48" s="6">
        <f>D48</f>
        <v>0</v>
      </c>
      <c r="F48" s="10"/>
    </row>
    <row r="49" spans="1:11" ht="38.25" customHeight="1">
      <c r="A49" s="151">
        <v>6</v>
      </c>
      <c r="B49" s="13" t="s">
        <v>98</v>
      </c>
      <c r="C49" s="7"/>
      <c r="D49" s="14">
        <f>ROUNDUP((D47-D48),-1)</f>
        <v>0</v>
      </c>
      <c r="E49" s="14">
        <f>ROUNDUP((E47-E48),-1)</f>
        <v>0</v>
      </c>
      <c r="F49" s="72">
        <f>D49-E49</f>
        <v>0</v>
      </c>
      <c r="H49" s="70"/>
    </row>
    <row r="50" spans="1:11" ht="38.25" customHeight="1">
      <c r="A50" s="151"/>
      <c r="B50" s="4" t="s">
        <v>100</v>
      </c>
      <c r="C50" s="7"/>
      <c r="D50" s="6">
        <v>44000</v>
      </c>
      <c r="E50" s="6">
        <f>D50</f>
        <v>44000</v>
      </c>
      <c r="F50" s="10"/>
    </row>
    <row r="51" spans="1:11" s="16" customFormat="1" ht="38.25" customHeight="1">
      <c r="A51" s="151"/>
      <c r="B51" s="13" t="s">
        <v>99</v>
      </c>
      <c r="C51" s="7"/>
      <c r="D51" s="14">
        <f>MAX((D49-D50),0)</f>
        <v>0</v>
      </c>
      <c r="E51" s="14">
        <f>MAX((E49-E50),0)</f>
        <v>0</v>
      </c>
      <c r="F51" s="68"/>
      <c r="G51" s="15"/>
      <c r="H51" s="15"/>
      <c r="J51" s="15"/>
      <c r="K51" s="15"/>
    </row>
    <row r="52" spans="1:11" s="16" customFormat="1" ht="18" customHeight="1" thickBot="1">
      <c r="A52" s="74"/>
      <c r="B52" s="75"/>
      <c r="C52" s="10"/>
      <c r="D52" s="71"/>
      <c r="E52" s="71"/>
      <c r="F52" s="68"/>
      <c r="G52" s="15"/>
      <c r="H52" s="15"/>
      <c r="J52" s="15"/>
      <c r="K52" s="15"/>
    </row>
    <row r="53" spans="1:11" s="16" customFormat="1" ht="54.75" customHeight="1" thickBot="1">
      <c r="A53" s="84"/>
      <c r="B53" s="152" t="s">
        <v>106</v>
      </c>
      <c r="C53" s="152"/>
      <c r="D53" s="152"/>
      <c r="E53" s="152"/>
      <c r="G53" s="15"/>
      <c r="H53" s="15"/>
      <c r="J53" s="15"/>
      <c r="K53" s="15"/>
    </row>
    <row r="54" spans="1:11" s="16" customFormat="1" ht="11.65" customHeight="1" thickBot="1">
      <c r="A54" s="83"/>
      <c r="B54" s="85"/>
      <c r="C54" s="85"/>
      <c r="D54" s="85"/>
      <c r="E54" s="85"/>
      <c r="G54" s="15"/>
      <c r="H54" s="15"/>
      <c r="J54" s="15"/>
      <c r="K54" s="15"/>
    </row>
    <row r="55" spans="1:11" s="16" customFormat="1" ht="54.4" customHeight="1" thickBot="1">
      <c r="A55" s="84"/>
      <c r="B55" s="152" t="s">
        <v>107</v>
      </c>
      <c r="C55" s="152"/>
      <c r="D55" s="152"/>
      <c r="E55" s="152"/>
      <c r="G55" s="15"/>
      <c r="H55" s="15"/>
      <c r="J55" s="15"/>
      <c r="K55" s="15"/>
    </row>
    <row r="56" spans="1:11" s="16" customFormat="1" ht="66.75" customHeight="1">
      <c r="A56" s="157" t="s">
        <v>97</v>
      </c>
      <c r="B56" s="157"/>
      <c r="C56" s="157"/>
      <c r="D56" s="157"/>
      <c r="E56" s="157"/>
      <c r="F56" s="68"/>
      <c r="G56" s="15"/>
      <c r="H56" s="15"/>
      <c r="J56" s="15"/>
      <c r="K56" s="15"/>
    </row>
    <row r="57" spans="1:11" s="16" customFormat="1" ht="97.15" customHeight="1">
      <c r="A57" s="158" t="s">
        <v>101</v>
      </c>
      <c r="B57" s="158"/>
      <c r="C57" s="158"/>
      <c r="D57" s="158"/>
      <c r="E57" s="158"/>
      <c r="F57" s="68"/>
      <c r="G57" s="15"/>
      <c r="H57" s="15"/>
      <c r="J57" s="15"/>
      <c r="K57" s="15"/>
    </row>
    <row r="58" spans="1:11" s="16" customFormat="1" ht="15" customHeight="1">
      <c r="A58" s="15"/>
      <c r="B58" s="15"/>
      <c r="D58" s="1"/>
      <c r="E58" s="1"/>
      <c r="F58" s="67"/>
      <c r="G58" s="15"/>
      <c r="H58" s="15"/>
      <c r="J58" s="15"/>
      <c r="K58" s="15"/>
    </row>
    <row r="59" spans="1:11" s="16" customFormat="1" ht="37.5" customHeight="1">
      <c r="A59" s="156" t="s">
        <v>110</v>
      </c>
      <c r="B59" s="156"/>
      <c r="C59" s="156"/>
      <c r="D59" s="156"/>
      <c r="E59" s="156"/>
      <c r="F59" s="104"/>
      <c r="G59" s="15"/>
      <c r="H59" s="15"/>
      <c r="J59" s="15"/>
      <c r="K59" s="15"/>
    </row>
    <row r="60" spans="1:11" s="16" customFormat="1" ht="70.5" customHeight="1">
      <c r="A60" s="105"/>
      <c r="B60" s="79"/>
      <c r="C60" s="106">
        <f>STATEMENT!B3</f>
        <v>0</v>
      </c>
      <c r="D60" s="106"/>
      <c r="E60" s="107"/>
      <c r="F60" s="108"/>
      <c r="G60" s="15"/>
      <c r="H60" s="15"/>
      <c r="J60" s="15"/>
      <c r="K60" s="15"/>
    </row>
    <row r="61" spans="1:11" s="16" customFormat="1" ht="22.5" customHeight="1">
      <c r="A61" s="105"/>
      <c r="B61" s="80"/>
      <c r="C61" s="138" t="s">
        <v>91</v>
      </c>
      <c r="D61" s="138"/>
      <c r="E61" s="107"/>
      <c r="F61" s="108"/>
      <c r="G61" s="15"/>
      <c r="H61" s="15"/>
      <c r="J61" s="15"/>
      <c r="K61" s="15"/>
    </row>
    <row r="62" spans="1:11" s="16" customFormat="1" ht="38.25" customHeight="1">
      <c r="A62" s="105"/>
      <c r="B62" s="78" t="s">
        <v>92</v>
      </c>
      <c r="C62" s="80"/>
      <c r="D62" s="109"/>
      <c r="E62" s="107"/>
      <c r="F62" s="110"/>
      <c r="G62" s="15"/>
      <c r="H62" s="15"/>
      <c r="J62" s="15"/>
      <c r="K62" s="15"/>
    </row>
    <row r="63" spans="1:11" s="16" customFormat="1" ht="19.5" customHeight="1">
      <c r="A63" s="111"/>
      <c r="B63" s="78" t="s">
        <v>34</v>
      </c>
      <c r="C63" s="105"/>
      <c r="D63" s="109"/>
      <c r="E63" s="107"/>
      <c r="F63" s="108"/>
      <c r="G63" s="15"/>
      <c r="H63" s="15"/>
      <c r="J63" s="15"/>
      <c r="K63" s="15"/>
    </row>
    <row r="64" spans="1:11" s="16" customFormat="1" ht="25.5" customHeight="1">
      <c r="A64" s="105"/>
      <c r="B64" s="81" t="str">
        <f>STATEMENT!J37</f>
        <v>GOVERNMENT COLLEGE OF ENGINEERING, JALGAON</v>
      </c>
      <c r="C64" s="80"/>
      <c r="D64" s="80"/>
      <c r="E64" s="112"/>
      <c r="G64" s="15"/>
      <c r="H64" s="15"/>
      <c r="J64" s="15"/>
      <c r="K64" s="15"/>
    </row>
    <row r="65" spans="1:11" s="16" customFormat="1" ht="21.95" customHeight="1">
      <c r="A65" s="113"/>
      <c r="B65" s="15"/>
      <c r="C65" s="108"/>
      <c r="D65" s="108"/>
      <c r="E65" s="108"/>
      <c r="F65" s="108"/>
      <c r="G65" s="15"/>
      <c r="H65" s="15"/>
      <c r="J65" s="15"/>
      <c r="K65" s="15"/>
    </row>
  </sheetData>
  <sheetProtection formatCells="0" formatColumns="0" formatRows="0"/>
  <mergeCells count="25">
    <mergeCell ref="H1:K1"/>
    <mergeCell ref="A59:E59"/>
    <mergeCell ref="A56:E56"/>
    <mergeCell ref="A57:E57"/>
    <mergeCell ref="H19:I19"/>
    <mergeCell ref="H18:I18"/>
    <mergeCell ref="F1:F6"/>
    <mergeCell ref="A41:A48"/>
    <mergeCell ref="A49:A51"/>
    <mergeCell ref="C7:D7"/>
    <mergeCell ref="C8:D8"/>
    <mergeCell ref="F9:F10"/>
    <mergeCell ref="A10:A12"/>
    <mergeCell ref="A16:A18"/>
    <mergeCell ref="C61:D61"/>
    <mergeCell ref="A1:E1"/>
    <mergeCell ref="A2:E2"/>
    <mergeCell ref="A3:E3"/>
    <mergeCell ref="A4:E4"/>
    <mergeCell ref="B5:E5"/>
    <mergeCell ref="B6:E6"/>
    <mergeCell ref="A20:A28"/>
    <mergeCell ref="A29:A40"/>
    <mergeCell ref="B53:E53"/>
    <mergeCell ref="B55:E55"/>
  </mergeCells>
  <printOptions horizontalCentered="1"/>
  <pageMargins left="0.74803149606299202" right="0.39370078740157499" top="0.55118110236220497" bottom="0.31496062992126" header="0.31496062992126" footer="0.118110236220472"/>
  <pageSetup paperSize="9" scale="73" orientation="portrait" r:id="rId1"/>
  <rowBreaks count="1" manualBreakCount="1">
    <brk id="40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STATEMENT</vt:lpstr>
      <vt:lpstr>ANNEXURE 2025</vt:lpstr>
      <vt:lpstr>'ANNEXURE 2025'!Print_Area</vt:lpstr>
      <vt:lpstr>STATEMENT!Print_Area</vt:lpstr>
      <vt:lpstr>'ANNEXURE 2025'!Print_Titles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ACCOUNT2</dc:creator>
  <cp:lastModifiedBy>mjp</cp:lastModifiedBy>
  <cp:lastPrinted>2025-01-15T11:53:29Z</cp:lastPrinted>
  <dcterms:created xsi:type="dcterms:W3CDTF">2021-01-19T09:53:00Z</dcterms:created>
  <dcterms:modified xsi:type="dcterms:W3CDTF">2025-01-21T05:06:59Z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CC0F4CD0F0D04D37B2157B0970E22C50</vt:lpwstr>
  </property>
  <property fmtid="{D5CDD505-2E9C-101B-9397-08002B2CF9AE}" pid="3" name="KSOProductBuildVer">
    <vt:lpwstr>1033-11.2.0.10382</vt:lpwstr>
  </property>
</Properties>
</file>